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5C517A-CDE7-4CF1-8B52-C29458E22F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K ORLEN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5" l="1"/>
  <c r="C41" i="5"/>
  <c r="C40" i="5"/>
  <c r="C39" i="5" s="1"/>
  <c r="C36" i="5"/>
  <c r="C35" i="5"/>
  <c r="C34" i="5"/>
  <c r="C33" i="5"/>
  <c r="C31" i="5" s="1"/>
  <c r="C27" i="5"/>
  <c r="C25" i="5"/>
  <c r="C23" i="5"/>
  <c r="C21" i="5"/>
  <c r="C20" i="5"/>
  <c r="C19" i="5"/>
  <c r="C14" i="5"/>
  <c r="C13" i="5"/>
  <c r="C10" i="5" s="1"/>
  <c r="C12" i="5"/>
  <c r="C11" i="5"/>
  <c r="C8" i="5"/>
  <c r="C7" i="5"/>
  <c r="C9" i="5" s="1"/>
  <c r="C6" i="5"/>
  <c r="C5" i="5"/>
  <c r="C43" i="5"/>
  <c r="C24" i="5" s="1"/>
  <c r="C26" i="5" s="1"/>
  <c r="C42" i="5"/>
  <c r="C18" i="5" s="1"/>
  <c r="C17" i="5" s="1"/>
  <c r="C22" i="5" l="1"/>
  <c r="C37" i="5"/>
  <c r="C16" i="5"/>
  <c r="C4" i="5"/>
  <c r="C45" i="5" l="1"/>
  <c r="C3" i="5"/>
  <c r="D40" i="5" l="1"/>
  <c r="D8" i="5"/>
  <c r="D41" i="5"/>
  <c r="D36" i="5"/>
  <c r="D35" i="5"/>
  <c r="D34" i="5"/>
  <c r="D33" i="5"/>
  <c r="D32" i="5"/>
  <c r="D27" i="5"/>
  <c r="D23" i="5"/>
  <c r="D21" i="5"/>
  <c r="D20" i="5"/>
  <c r="D19" i="5"/>
  <c r="D14" i="5"/>
  <c r="D13" i="5"/>
  <c r="D12" i="5"/>
  <c r="D11" i="5"/>
  <c r="D7" i="5"/>
  <c r="D9" i="5" s="1"/>
  <c r="D25" i="5" l="1"/>
  <c r="E32" i="5"/>
  <c r="E41" i="5"/>
  <c r="E36" i="5"/>
  <c r="E35" i="5"/>
  <c r="E34" i="5"/>
  <c r="E33" i="5"/>
  <c r="E27" i="5"/>
  <c r="E25" i="5"/>
  <c r="E23" i="5"/>
  <c r="E21" i="5"/>
  <c r="E20" i="5"/>
  <c r="E19" i="5"/>
  <c r="E14" i="5"/>
  <c r="E13" i="5"/>
  <c r="E12" i="5"/>
  <c r="E11" i="5"/>
  <c r="E7" i="5"/>
  <c r="F40" i="5"/>
  <c r="E40" i="5"/>
  <c r="E6" i="5"/>
  <c r="E5" i="5"/>
  <c r="D43" i="5"/>
  <c r="D24" i="5" s="1"/>
  <c r="D42" i="5"/>
  <c r="D18" i="5" s="1"/>
  <c r="D31" i="5"/>
  <c r="D10" i="5"/>
  <c r="D39" i="5" l="1"/>
  <c r="E8" i="5"/>
  <c r="D37" i="5"/>
  <c r="G40" i="5"/>
  <c r="G42" i="5"/>
  <c r="F42" i="5"/>
  <c r="E42" i="5"/>
  <c r="E18" i="5" s="1"/>
  <c r="F43" i="5"/>
  <c r="G43" i="5"/>
  <c r="E43" i="5"/>
  <c r="E24" i="5" s="1"/>
  <c r="D6" i="5" l="1"/>
  <c r="D22" i="5"/>
  <c r="D5" i="5"/>
  <c r="D4" i="5" s="1"/>
  <c r="D3" i="5"/>
  <c r="G36" i="5"/>
  <c r="G34" i="5"/>
  <c r="G33" i="5"/>
  <c r="G14" i="5"/>
  <c r="G13" i="5"/>
  <c r="G12" i="5"/>
  <c r="G11" i="5"/>
  <c r="F33" i="5"/>
  <c r="F36" i="5"/>
  <c r="F34" i="5"/>
  <c r="F14" i="5"/>
  <c r="F13" i="5"/>
  <c r="F12" i="5"/>
  <c r="F11" i="5"/>
  <c r="D33" i="1"/>
  <c r="C33" i="1"/>
  <c r="D29" i="4"/>
  <c r="C29" i="4"/>
  <c r="G32" i="5"/>
  <c r="F32" i="5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D20" i="1" s="1"/>
  <c r="C36" i="1"/>
  <c r="C20" i="1" s="1"/>
  <c r="D35" i="1"/>
  <c r="C35" i="1"/>
  <c r="D30" i="1"/>
  <c r="D29" i="1"/>
  <c r="C29" i="1"/>
  <c r="D28" i="1"/>
  <c r="C28" i="1"/>
  <c r="D21" i="1"/>
  <c r="C21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D21" i="4" s="1"/>
  <c r="C37" i="4"/>
  <c r="C21" i="4" s="1"/>
  <c r="D36" i="4"/>
  <c r="C36" i="4"/>
  <c r="D32" i="4"/>
  <c r="D31" i="4"/>
  <c r="C31" i="4"/>
  <c r="D30" i="4"/>
  <c r="C30" i="4"/>
  <c r="D22" i="4"/>
  <c r="C22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G41" i="5"/>
  <c r="G24" i="5" s="1"/>
  <c r="F41" i="5"/>
  <c r="F24" i="5" s="1"/>
  <c r="G35" i="5"/>
  <c r="F35" i="5"/>
  <c r="G25" i="5"/>
  <c r="F25" i="5"/>
  <c r="G23" i="5"/>
  <c r="F23" i="5"/>
  <c r="G21" i="5"/>
  <c r="F21" i="5"/>
  <c r="G20" i="5"/>
  <c r="F20" i="5"/>
  <c r="G19" i="5"/>
  <c r="F19" i="5"/>
  <c r="G18" i="5"/>
  <c r="F18" i="5"/>
  <c r="F8" i="5"/>
  <c r="G7" i="5"/>
  <c r="F7" i="5"/>
  <c r="D6" i="1"/>
  <c r="C6" i="1"/>
  <c r="D5" i="1"/>
  <c r="C5" i="1"/>
  <c r="D6" i="4"/>
  <c r="C6" i="4"/>
  <c r="D5" i="4"/>
  <c r="C5" i="4"/>
  <c r="G6" i="5"/>
  <c r="F6" i="5"/>
  <c r="G5" i="5"/>
  <c r="F5" i="5"/>
  <c r="D26" i="5" l="1"/>
  <c r="D17" i="5"/>
  <c r="D16" i="5" s="1"/>
  <c r="D45" i="5" s="1"/>
  <c r="C32" i="4"/>
  <c r="C30" i="1"/>
  <c r="G10" i="5"/>
  <c r="F10" i="5"/>
  <c r="E10" i="5"/>
  <c r="F37" i="5" l="1"/>
  <c r="G37" i="5" l="1"/>
  <c r="F26" i="5" l="1"/>
  <c r="G31" i="5"/>
  <c r="G26" i="5"/>
  <c r="G17" i="5"/>
  <c r="F17" i="5"/>
  <c r="G9" i="5"/>
  <c r="G4" i="5" s="1"/>
  <c r="E26" i="5" l="1"/>
  <c r="E17" i="5"/>
  <c r="E39" i="5"/>
  <c r="E9" i="5"/>
  <c r="E31" i="5"/>
  <c r="E37" i="5"/>
  <c r="F9" i="5"/>
  <c r="F4" i="5" s="1"/>
  <c r="F39" i="5"/>
  <c r="F31" i="5"/>
  <c r="G39" i="5"/>
  <c r="G16" i="5" s="1"/>
  <c r="E22" i="5"/>
  <c r="F22" i="5"/>
  <c r="G22" i="5"/>
  <c r="E4" i="5" l="1"/>
  <c r="E16" i="5"/>
  <c r="F3" i="5"/>
  <c r="G45" i="5"/>
  <c r="F16" i="5"/>
  <c r="F45" i="5" s="1"/>
  <c r="G3" i="5"/>
  <c r="B8" i="4"/>
  <c r="B7" i="4"/>
  <c r="D11" i="4"/>
  <c r="E38" i="1"/>
  <c r="E37" i="1"/>
  <c r="E32" i="1"/>
  <c r="E23" i="1"/>
  <c r="E24" i="1"/>
  <c r="E25" i="1"/>
  <c r="E26" i="1"/>
  <c r="E3" i="5" l="1"/>
  <c r="E45" i="5"/>
  <c r="D35" i="4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<sst xmlns="http://schemas.openxmlformats.org/spreadsheetml/2006/main" count="169" uniqueCount="90">
  <si>
    <t>Bezpośrednia wartość ekonomiczna wytworzona i podzielona</t>
  </si>
  <si>
    <t>Przychody</t>
  </si>
  <si>
    <t>Przychody netto ze sprzedaży i zrównane z nimi, w tym od jednostek powiązanych</t>
  </si>
  <si>
    <t>Zmiana stanu produktów</t>
  </si>
  <si>
    <t>Koszty wytworzenia produktów na własne potrzeby jednostki</t>
  </si>
  <si>
    <t>Pozostałe przychody operacyjne</t>
  </si>
  <si>
    <t>Zysk ze zbycia rzeczowych aktywów trwałych i wartości niematerialnych</t>
  </si>
  <si>
    <t>Dotacje państwowe i inne darowizny</t>
  </si>
  <si>
    <t>Inne przychody operacyjne</t>
  </si>
  <si>
    <t>Koszty działalności operacyjnej</t>
  </si>
  <si>
    <t>Amortyzacja</t>
  </si>
  <si>
    <t>Zużycie materiałów i energii</t>
  </si>
  <si>
    <t>Usługi obce</t>
  </si>
  <si>
    <t>Pozostałe koszty rodzajowe</t>
  </si>
  <si>
    <t>Wartość sprzedanych towarów i materiałów</t>
  </si>
  <si>
    <t>Pozostałe koszty operacyjne</t>
  </si>
  <si>
    <t>Strata ze zbycia rzeczowych aktywów trwałych i wartości niematerialnych</t>
  </si>
  <si>
    <t>Inne koszty operacyjne</t>
  </si>
  <si>
    <t>Wynagrodzenia i świadczenia pracownicze</t>
  </si>
  <si>
    <t>Koszty wynagrodzeń</t>
  </si>
  <si>
    <t>Koszty ubezpieczeń społecznych</t>
  </si>
  <si>
    <t>Koszty przyszłych świadczeń</t>
  </si>
  <si>
    <t>Koszty finansowe</t>
  </si>
  <si>
    <t>Koszty odsetek</t>
  </si>
  <si>
    <t>Straty/zyski z tytułu różnic kursowych z wyceny finansowania zewnętrznego</t>
  </si>
  <si>
    <t>Pozostałe koszty finansowe</t>
  </si>
  <si>
    <t>Straty z tytułu wyceny zobowiązań długoterminowych</t>
  </si>
  <si>
    <t>Dywidenda wypłacona</t>
  </si>
  <si>
    <t>Płatności na rzecz państwa</t>
  </si>
  <si>
    <t>Podatek dochodowy</t>
  </si>
  <si>
    <t>Kary i odszkodowania</t>
  </si>
  <si>
    <t>Płatności na rzecz społeczności lokalnych wynikające z umów użytkowania gruntów (z wyłączeniem zakupu gruntów)</t>
  </si>
  <si>
    <t>Wartość ekonomiczna zatrzymana</t>
  </si>
  <si>
    <t>mln PLN</t>
  </si>
  <si>
    <t>Przychody ze sprzedaży produktów, towarów i materiałów</t>
  </si>
  <si>
    <t>Przychody finansowe</t>
  </si>
  <si>
    <t>Bespośrednia wartość ekonomiczna wytworzona ( Przychody ze sprzedaży produktów, towarów i materiałów +ppo+pf)</t>
  </si>
  <si>
    <t>Koszty sprzedanych produktów, towarów i materiałów</t>
  </si>
  <si>
    <t>Koszty sprzedaży</t>
  </si>
  <si>
    <t>Koszty ogólnego zarządu</t>
  </si>
  <si>
    <t>Przychody netto ze sprzedaży towarów i materiałów</t>
  </si>
  <si>
    <t>Przychody netto ze sprzedaży produktówi usług</t>
  </si>
  <si>
    <t>1.1</t>
  </si>
  <si>
    <t>1.2</t>
  </si>
  <si>
    <t>2.1</t>
  </si>
  <si>
    <t>2.2</t>
  </si>
  <si>
    <t>4.1</t>
  </si>
  <si>
    <t>4.2</t>
  </si>
  <si>
    <t>Wartość ekonomicznie podzielona</t>
  </si>
  <si>
    <t>w tym:</t>
  </si>
  <si>
    <t>Wynagrodzenia, ubezpieczenia społeczne i świadczenia pracownicze</t>
  </si>
  <si>
    <t>Podatki i opłaty</t>
  </si>
  <si>
    <t>Inwestycje społeczne</t>
  </si>
  <si>
    <t>Koszty odsetkowe</t>
  </si>
  <si>
    <t>Koszty działalności operacyjnej (po uwzględnieniu wyłączeń)</t>
  </si>
  <si>
    <t>Wypłacona dywidenda</t>
  </si>
  <si>
    <t>Płatność na rzecz inwestorów</t>
  </si>
  <si>
    <t>Wartośc ekonomiczna podzielona</t>
  </si>
  <si>
    <t>Wartośc ekonomiczna zatrzymana (wartość ekonomiczna wytworzona pomniejszona o wartośc ekonomiczną podzieloną)</t>
  </si>
  <si>
    <t>bez wynagrodzeń i podatków z wiersza 37</t>
  </si>
  <si>
    <t>Opłaty środowiskowe, Podatek od nieruchomości, podatek od środków transportu i podatek gruntowy</t>
  </si>
  <si>
    <t>Płatności na rzecz inwestorów</t>
  </si>
  <si>
    <t>Koszty operacyjne</t>
  </si>
  <si>
    <t>A. BEZPOŚREDNIA WARTOŚĆ EKONOMICZNA WYTWORZONA</t>
  </si>
  <si>
    <t>B. PODZIELONA WARTOŚĆ EKONOMICZNA</t>
  </si>
  <si>
    <t>B.1. Koszty operacyjne</t>
  </si>
  <si>
    <t>B2. Wynagrodzenia i świadczenia pracownicze</t>
  </si>
  <si>
    <t>B3. Płatności na rzecz inwestorów</t>
  </si>
  <si>
    <t>B4. Płatności na rzecz państwa</t>
  </si>
  <si>
    <t>B6. Inwestycje społeczne</t>
  </si>
  <si>
    <t>B5. Płatności na rzecz społeczności lokalnych</t>
  </si>
  <si>
    <t>A1. Przychody</t>
  </si>
  <si>
    <t>C. WARTOŚĆ EKONOMICZNA ZATRZYMANA</t>
  </si>
  <si>
    <t>Przychody netto ze sprzedaży produktów i usług</t>
  </si>
  <si>
    <t>WARTOŚĆ EKONOMICZNA ZATRZYMANA</t>
  </si>
  <si>
    <t>ZN</t>
  </si>
  <si>
    <t>A1. Przychody i pozostałe</t>
  </si>
  <si>
    <t>Rozliczenie i wycena pochodnych instrumentów finansowych</t>
  </si>
  <si>
    <t>P219904 - Darowizny</t>
  </si>
  <si>
    <t>Zyski z tytułu różnic kursowych z wyceny finansowania zewnętrznego</t>
  </si>
  <si>
    <t>Straty z tytułu różnic kursowych z wyceny finansowania zewnętrznego</t>
  </si>
  <si>
    <t>Przychody z tytułu odsetek</t>
  </si>
  <si>
    <t>Przychody z tytułu rozliczenia i wyceny pochodnych instrumentów finansowych</t>
  </si>
  <si>
    <t>Pozostałe przychody finansowe</t>
  </si>
  <si>
    <t>Koszty z tytułu odsetek</t>
  </si>
  <si>
    <t>P22010403 - Opłaty środowiskowe</t>
  </si>
  <si>
    <t>P22010404 - Podatek od nieruchomości</t>
  </si>
  <si>
    <t>P22010405 - Podatek od środków transportu</t>
  </si>
  <si>
    <t>P22010406 - Podatek gruntowy</t>
  </si>
  <si>
    <t>Raporty z arkuszy konsolidacyjnych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</si>
</sst>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3" fontId="17" fillId="0" borderId="0" xfId="0" applyNumberFormat="1" applyFont="1"/>
    <xf numFmtId="0" fontId="8" fillId="0" borderId="0" xfId="0" applyFont="1" applyFill="1" applyAlignment="1">
      <alignment horizontal="left" vertical="center" wrapText="1"/>
    </xf>
    <xf numFmtId="3" fontId="17" fillId="0" borderId="0" xfId="0" applyNumberFormat="1" applyFont="1" applyFill="1"/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left" vertical="center" wrapText="1"/>
    </xf>
    <xf numFmtId="3" fontId="18" fillId="7" borderId="1" xfId="0" applyNumberFormat="1" applyFont="1" applyFill="1" applyBorder="1"/>
    <xf numFmtId="3" fontId="16" fillId="7" borderId="1" xfId="0" applyNumberFormat="1" applyFont="1" applyFill="1" applyBorder="1"/>
    <xf numFmtId="3" fontId="5" fillId="7" borderId="1" xfId="0" applyNumberFormat="1" applyFont="1" applyFill="1" applyBorder="1"/>
    <xf numFmtId="0" fontId="8" fillId="7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2"/>
    </xf>
    <xf numFmtId="0" fontId="8" fillId="7" borderId="1" xfId="0" applyFont="1" applyFill="1" applyBorder="1" applyAlignment="1">
      <alignment horizontal="left" vertical="center" wrapText="1"/>
    </xf>
    <xf numFmtId="3" fontId="7" fillId="7" borderId="1" xfId="0" applyNumberFormat="1" applyFont="1" applyFill="1" applyBorder="1" applyAlignment="1">
      <alignment vertical="center"/>
    </xf>
    <xf numFmtId="0" fontId="0" fillId="7" borderId="0" xfId="0" applyFont="1" applyFill="1"/>
    <xf numFmtId="0" fontId="7" fillId="7" borderId="0" xfId="0" applyFont="1" applyFill="1"/>
    <xf numFmtId="0" fontId="23" fillId="7" borderId="0" xfId="0" applyFont="1" applyFill="1"/>
    <xf numFmtId="3" fontId="7" fillId="7" borderId="0" xfId="0" applyNumberFormat="1" applyFont="1" applyFill="1"/>
    <xf numFmtId="3" fontId="23" fillId="7" borderId="0" xfId="0" applyNumberFormat="1" applyFont="1" applyFill="1"/>
    <xf numFmtId="3" fontId="0" fillId="7" borderId="0" xfId="0" applyNumberFormat="1" applyFont="1" applyFill="1"/>
    <xf numFmtId="3" fontId="24" fillId="7" borderId="0" xfId="0" applyNumberFormat="1" applyFont="1" applyFill="1"/>
    <xf numFmtId="3" fontId="10" fillId="7" borderId="0" xfId="0" applyNumberFormat="1" applyFont="1" applyFill="1"/>
    <xf numFmtId="0" fontId="0" fillId="7" borderId="0" xfId="0" applyFont="1" applyFill="1" applyAlignment="1">
      <alignment horizontal="right"/>
    </xf>
    <xf numFmtId="3" fontId="21" fillId="7" borderId="0" xfId="0" applyNumberFormat="1" applyFont="1" applyFill="1"/>
    <xf numFmtId="0" fontId="22" fillId="7" borderId="0" xfId="0" applyFont="1" applyFill="1"/>
    <xf numFmtId="0" fontId="1" fillId="7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ROK%202019\Excel%20ROK%202019%20v%20HP\MR_Excel%20do%20MSR%20ROK%2019%20v%20HP%20SK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8\ROK%202018\Excel%20ROK%202018%20v%20HP\MR_Excel%20do%20MSR%20ROK%2018%20v%20HP%20SK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7\ROK%202017\Excel%20ROK%202017%20v%20HP\MR_Excel%20do%20MSR%20ROK%2017%20v%20HP%20SK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2016\ROK%202016\Excel%20ROK%202016%20v%20HP\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9"/>
      <sheetName val="Aktywa i Pasywa IVQ19"/>
      <sheetName val="Aktywa i Pasywa IVQ19_szczeg"/>
      <sheetName val="Pozost Aktyw i Zobo KT_DT_ROK"/>
      <sheetName val="RZiS IVQ19"/>
      <sheetName val="RZiS IVQ19_szczeg"/>
      <sheetName val="CF IVQ19"/>
      <sheetName val="CF IVQ19_szczeg"/>
      <sheetName val="Kapitały IVQ19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Prawo użytkowania "/>
      <sheetName val="T2  skonsolidowany_LEASING"/>
      <sheetName val="T2  skonsolidowany_LEASING_NEW"/>
      <sheetName val="Zmiany zasad prezenatcji"/>
      <sheetName val="Zmiany zasad prezenatcji (2)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D22">
            <v>-1717</v>
          </cell>
        </row>
        <row r="145">
          <cell r="D145">
            <v>-75468</v>
          </cell>
        </row>
        <row r="146">
          <cell r="D146">
            <v>-16035</v>
          </cell>
        </row>
        <row r="147">
          <cell r="D147">
            <v>-4519</v>
          </cell>
        </row>
        <row r="148">
          <cell r="D148">
            <v>-2942</v>
          </cell>
        </row>
        <row r="149">
          <cell r="D149">
            <v>-3497</v>
          </cell>
        </row>
        <row r="155">
          <cell r="D155">
            <v>-105462</v>
          </cell>
        </row>
        <row r="158">
          <cell r="D158">
            <v>0</v>
          </cell>
        </row>
        <row r="165">
          <cell r="D165">
            <v>21</v>
          </cell>
        </row>
        <row r="174">
          <cell r="D174">
            <v>0</v>
          </cell>
        </row>
        <row r="190">
          <cell r="D190">
            <v>-55</v>
          </cell>
        </row>
        <row r="198">
          <cell r="D198">
            <v>-24</v>
          </cell>
        </row>
        <row r="216">
          <cell r="D216">
            <v>48</v>
          </cell>
        </row>
        <row r="217">
          <cell r="D217">
            <v>0</v>
          </cell>
        </row>
        <row r="219">
          <cell r="D219">
            <v>5</v>
          </cell>
        </row>
        <row r="221">
          <cell r="D221">
            <v>801</v>
          </cell>
        </row>
        <row r="223">
          <cell r="D223">
            <v>0</v>
          </cell>
        </row>
        <row r="228">
          <cell r="D228">
            <v>36</v>
          </cell>
        </row>
        <row r="234">
          <cell r="D234">
            <v>-187</v>
          </cell>
        </row>
        <row r="235">
          <cell r="D235">
            <v>-100</v>
          </cell>
        </row>
        <row r="236">
          <cell r="D236">
            <v>-2</v>
          </cell>
        </row>
        <row r="237">
          <cell r="D237">
            <v>0</v>
          </cell>
        </row>
        <row r="240">
          <cell r="D240">
            <v>-547</v>
          </cell>
        </row>
        <row r="246">
          <cell r="D246">
            <v>-901</v>
          </cell>
        </row>
      </sheetData>
      <sheetData sheetId="7">
        <row r="14">
          <cell r="D14">
            <v>93009</v>
          </cell>
        </row>
        <row r="15">
          <cell r="D15">
            <v>18194</v>
          </cell>
        </row>
        <row r="51">
          <cell r="D51">
            <v>-1000</v>
          </cell>
        </row>
      </sheetData>
      <sheetData sheetId="8">
        <row r="63">
          <cell r="D63">
            <v>-1497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8"/>
      <sheetName val="Arkusz1"/>
      <sheetName val="Aktywa i Pasywa IVQ18"/>
      <sheetName val="Aktywa i Pasywa IVQ18_szczeg"/>
      <sheetName val="Pozost Aktyw i Zobo KT_DT_ROK"/>
      <sheetName val="RZiS IVQ18"/>
      <sheetName val="RZiS IVQ18_szczeg"/>
      <sheetName val="CF IVQ18"/>
      <sheetName val="CF IVQ18_szczeg"/>
      <sheetName val="Kapitały IVQ18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D22">
            <v>-1152</v>
          </cell>
        </row>
        <row r="145">
          <cell r="D145">
            <v>-75789</v>
          </cell>
        </row>
        <row r="146">
          <cell r="D146">
            <v>-16484</v>
          </cell>
        </row>
        <row r="147">
          <cell r="D147">
            <v>-4593</v>
          </cell>
        </row>
        <row r="148">
          <cell r="D148">
            <v>-2628</v>
          </cell>
        </row>
        <row r="149">
          <cell r="D149">
            <v>-2673</v>
          </cell>
        </row>
        <row r="155">
          <cell r="D155">
            <v>-103600</v>
          </cell>
        </row>
        <row r="158">
          <cell r="D158">
            <v>0</v>
          </cell>
        </row>
        <row r="165">
          <cell r="D165">
            <v>17</v>
          </cell>
        </row>
        <row r="174">
          <cell r="D174">
            <v>0</v>
          </cell>
        </row>
        <row r="190">
          <cell r="D190">
            <v>-47</v>
          </cell>
        </row>
        <row r="198">
          <cell r="D198">
            <v>-17</v>
          </cell>
        </row>
        <row r="216">
          <cell r="D216">
            <v>39</v>
          </cell>
        </row>
        <row r="217">
          <cell r="D217">
            <v>0</v>
          </cell>
        </row>
        <row r="219">
          <cell r="D219">
            <v>4</v>
          </cell>
        </row>
        <row r="221">
          <cell r="D221">
            <v>1287</v>
          </cell>
        </row>
        <row r="223">
          <cell r="D223">
            <v>0</v>
          </cell>
        </row>
        <row r="228">
          <cell r="D228">
            <v>83</v>
          </cell>
        </row>
        <row r="234">
          <cell r="D234">
            <v>-195</v>
          </cell>
        </row>
        <row r="235">
          <cell r="D235">
            <v>-9</v>
          </cell>
        </row>
        <row r="236">
          <cell r="D236">
            <v>-3</v>
          </cell>
        </row>
        <row r="237">
          <cell r="D237">
            <v>-353</v>
          </cell>
        </row>
        <row r="240">
          <cell r="D240">
            <v>-850</v>
          </cell>
        </row>
        <row r="246">
          <cell r="D246">
            <v>-1517</v>
          </cell>
        </row>
      </sheetData>
      <sheetData sheetId="8">
        <row r="14">
          <cell r="D14">
            <v>91014</v>
          </cell>
        </row>
        <row r="15">
          <cell r="D15">
            <v>18692</v>
          </cell>
        </row>
        <row r="51">
          <cell r="D51">
            <v>-1181</v>
          </cell>
        </row>
      </sheetData>
      <sheetData sheetId="9">
        <row r="59">
          <cell r="D59">
            <v>-1284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7"/>
      <sheetName val="Arkusz1"/>
      <sheetName val="Aktywa i Pasywa IVQ17"/>
      <sheetName val="Aktywa i Pasywa IVQ17_szczeg"/>
      <sheetName val="Pozost Aktyw i Zobo KT_DT_ROK"/>
      <sheetName val="RZiS IVQ17"/>
      <sheetName val="RZiS IVQ17_szczeg"/>
      <sheetName val="CF IVQ17"/>
      <sheetName val="CF IVQ17_szczeg"/>
      <sheetName val="Kapitały IVQ17"/>
      <sheetName val="noty do bilansu 6 kolumn"/>
      <sheetName val="Obligacje seria"/>
      <sheetName val="Obligacje seria_JEDNOSTKOWY"/>
      <sheetName val="Hierarchia wartości godziwej"/>
      <sheetName val="Zm stanu rezerwy na odroczony"/>
      <sheetName val="rezerwy_BZ"/>
      <sheetName val="Rezerwy ruchy"/>
      <sheetName val="swiadczenia pracownicze"/>
      <sheetName val="analiza wrazliwości MSR19"/>
      <sheetName val="analiza wrazliwości MSR19_porow"/>
      <sheetName val="T1 skonsolidowane"/>
      <sheetName val="T1 skonsolidowane cd"/>
      <sheetName val="T2  skonsolidowany"/>
      <sheetName val="Zmiany zasad prezenatcji"/>
      <sheetName val="Zmiany zasad prezenatcj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D22">
            <v>-568</v>
          </cell>
        </row>
        <row r="131">
          <cell r="D131">
            <v>-57277</v>
          </cell>
        </row>
        <row r="132">
          <cell r="D132">
            <v>-20500</v>
          </cell>
        </row>
        <row r="133">
          <cell r="D133">
            <v>-4218</v>
          </cell>
        </row>
        <row r="134">
          <cell r="D134">
            <v>-2391</v>
          </cell>
        </row>
        <row r="135">
          <cell r="D135">
            <v>-2421</v>
          </cell>
        </row>
        <row r="141">
          <cell r="D141">
            <v>-88198</v>
          </cell>
        </row>
        <row r="144">
          <cell r="D144">
            <v>568</v>
          </cell>
        </row>
        <row r="151">
          <cell r="D151">
            <v>40</v>
          </cell>
        </row>
        <row r="160">
          <cell r="D160">
            <v>1</v>
          </cell>
        </row>
        <row r="169">
          <cell r="D169">
            <v>-49</v>
          </cell>
        </row>
        <row r="177">
          <cell r="D177">
            <v>-26</v>
          </cell>
        </row>
        <row r="188">
          <cell r="D188">
            <v>50</v>
          </cell>
        </row>
        <row r="189">
          <cell r="D189">
            <v>645</v>
          </cell>
        </row>
        <row r="191">
          <cell r="D191">
            <v>4</v>
          </cell>
        </row>
        <row r="193">
          <cell r="D193">
            <v>1025</v>
          </cell>
        </row>
        <row r="196">
          <cell r="D196">
            <v>2</v>
          </cell>
        </row>
        <row r="200">
          <cell r="D200">
            <v>34</v>
          </cell>
        </row>
        <row r="206">
          <cell r="D206">
            <v>-324</v>
          </cell>
        </row>
        <row r="207">
          <cell r="D207">
            <v>0</v>
          </cell>
        </row>
        <row r="210">
          <cell r="D210">
            <v>-1330</v>
          </cell>
        </row>
        <row r="218">
          <cell r="D218">
            <v>-1700</v>
          </cell>
        </row>
      </sheetData>
      <sheetData sheetId="8">
        <row r="14">
          <cell r="D14">
            <v>72915</v>
          </cell>
        </row>
        <row r="15">
          <cell r="D15">
            <v>22449</v>
          </cell>
        </row>
        <row r="49">
          <cell r="D49">
            <v>-1329</v>
          </cell>
          <cell r="G49">
            <v>-751</v>
          </cell>
        </row>
      </sheetData>
      <sheetData sheetId="9">
        <row r="54">
          <cell r="D54">
            <v>-1384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8">
          <cell r="D128">
            <v>-74481</v>
          </cell>
          <cell r="G128">
            <v>-84669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73">
          <cell r="D173">
            <v>59</v>
          </cell>
          <cell r="G173">
            <v>82</v>
          </cell>
        </row>
        <row r="174">
          <cell r="D174">
            <v>0</v>
          </cell>
          <cell r="G174">
            <v>0</v>
          </cell>
        </row>
        <row r="176">
          <cell r="D176">
            <v>5</v>
          </cell>
          <cell r="G176">
            <v>2</v>
          </cell>
        </row>
        <row r="178">
          <cell r="D178">
            <v>156</v>
          </cell>
          <cell r="G178">
            <v>270</v>
          </cell>
        </row>
        <row r="179">
          <cell r="D179">
            <v>2</v>
          </cell>
          <cell r="G179">
            <v>7</v>
          </cell>
        </row>
        <row r="182">
          <cell r="D182">
            <v>26</v>
          </cell>
          <cell r="G182">
            <v>29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  <row r="192">
          <cell r="D192">
            <v>-98</v>
          </cell>
          <cell r="G192">
            <v>-447</v>
          </cell>
        </row>
        <row r="197">
          <cell r="D197">
            <v>-893</v>
          </cell>
          <cell r="G197">
            <v>-1032</v>
          </cell>
        </row>
      </sheetData>
      <sheetData sheetId="9"/>
      <sheetData sheetId="10"/>
      <sheetData sheetId="1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  <row r="49">
          <cell r="G49">
            <v>-310</v>
          </cell>
        </row>
      </sheetData>
      <sheetData sheetId="12"/>
      <sheetData sheetId="13">
        <row r="55">
          <cell r="D55">
            <v>-912</v>
          </cell>
          <cell r="G55">
            <v>-706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9"/>
  <sheetViews>
    <sheetView tabSelected="1" workbookViewId="0">
      <selection activeCell="B1" sqref="B1"/>
    </sheetView>
  </sheetViews>
  <sheetFormatPr defaultColWidth="8.7109375" defaultRowHeight="12.75" outlineLevelRow="1" outlineLevelCol="1" x14ac:dyDescent="0.2"/>
  <cols>
    <col min="1" max="1" width="0.7109375" style="34" customWidth="1"/>
    <col min="2" max="2" width="72" style="86" customWidth="1"/>
    <col min="3" max="5" width="10.28515625" style="87" bestFit="1" customWidth="1"/>
    <col min="6" max="7" width="9.7109375" style="86" bestFit="1" customWidth="1"/>
    <col min="9" max="9" width="8.7109375" style="34" customWidth="1" outlineLevel="1"/>
    <col min="10" max="16384" width="8.7109375" style="34"/>
  </cols>
  <sheetData>
    <row r="1" spans="1:8" s="54" customFormat="1" ht="15.75" x14ac:dyDescent="0.25">
      <c r="A1" s="52"/>
      <c r="B1" s="73" t="s">
        <v>74</v>
      </c>
      <c r="C1" s="74">
        <v>2019</v>
      </c>
      <c r="D1" s="74">
        <v>2018</v>
      </c>
      <c r="E1" s="74">
        <v>2017</v>
      </c>
      <c r="F1" s="74">
        <v>2016</v>
      </c>
      <c r="G1" s="74">
        <v>2015</v>
      </c>
    </row>
    <row r="2" spans="1:8" s="43" customFormat="1" x14ac:dyDescent="0.2">
      <c r="A2" s="41"/>
      <c r="B2" s="75"/>
      <c r="C2" s="76"/>
      <c r="D2" s="76"/>
      <c r="E2" s="76"/>
      <c r="F2" s="77"/>
      <c r="G2" s="77"/>
    </row>
    <row r="3" spans="1:8" s="54" customFormat="1" ht="15.75" x14ac:dyDescent="0.25">
      <c r="A3" s="52"/>
      <c r="B3" s="78" t="s">
        <v>63</v>
      </c>
      <c r="C3" s="79">
        <f>C4</f>
        <v>113339</v>
      </c>
      <c r="D3" s="79">
        <f>D4</f>
        <v>113269</v>
      </c>
      <c r="E3" s="79">
        <f>E4</f>
        <v>98367</v>
      </c>
      <c r="F3" s="80">
        <f>F4</f>
        <v>81964</v>
      </c>
      <c r="G3" s="80">
        <f>G4</f>
        <v>89146</v>
      </c>
      <c r="H3" s="70"/>
    </row>
    <row r="4" spans="1:8" ht="15" x14ac:dyDescent="0.2">
      <c r="A4" s="32">
        <v>1</v>
      </c>
      <c r="B4" s="75" t="s">
        <v>71</v>
      </c>
      <c r="C4" s="81">
        <f>SUM(C5:C10)</f>
        <v>113339</v>
      </c>
      <c r="D4" s="81">
        <f>SUM(D5:D10)</f>
        <v>113269</v>
      </c>
      <c r="E4" s="81">
        <f>SUM(E5:E10)</f>
        <v>98367</v>
      </c>
      <c r="F4" s="81">
        <f>SUM(F5:F10)</f>
        <v>81964</v>
      </c>
      <c r="G4" s="81">
        <f>SUM(G5:G10)</f>
        <v>89146</v>
      </c>
      <c r="H4" s="70"/>
    </row>
    <row r="5" spans="1:8" s="43" customFormat="1" ht="15" x14ac:dyDescent="0.2">
      <c r="A5" s="71"/>
      <c r="B5" s="82" t="s">
        <v>73</v>
      </c>
      <c r="C5" s="62">
        <f>'[1]RZiS IVQ19_szczeg'!$D$14</f>
        <v>93009</v>
      </c>
      <c r="D5" s="62">
        <f>'[2]RZiS IVQ18_szczeg'!$D$14</f>
        <v>91014</v>
      </c>
      <c r="E5" s="62">
        <f>'[3]RZiS IVQ17_szczeg'!$D$14</f>
        <v>72915</v>
      </c>
      <c r="F5" s="62">
        <f>'[4]RZiS IVQ16_szczeg'!$D$14</f>
        <v>57775</v>
      </c>
      <c r="G5" s="62">
        <f>'[4]RZiS IVQ16_szczeg'!$G$14</f>
        <v>68768</v>
      </c>
      <c r="H5" s="72"/>
    </row>
    <row r="6" spans="1:8" s="43" customFormat="1" ht="15" x14ac:dyDescent="0.2">
      <c r="A6" s="71"/>
      <c r="B6" s="82" t="s">
        <v>40</v>
      </c>
      <c r="C6" s="62">
        <f>'[1]RZiS IVQ19_szczeg'!$D$15</f>
        <v>18194</v>
      </c>
      <c r="D6" s="62">
        <f>'[2]RZiS IVQ18_szczeg'!$D$15</f>
        <v>18692</v>
      </c>
      <c r="E6" s="62">
        <f>'[3]RZiS IVQ17_szczeg'!$D$15</f>
        <v>22449</v>
      </c>
      <c r="F6" s="62">
        <f>'[4]RZiS IVQ16_szczeg'!$D$15</f>
        <v>21778</v>
      </c>
      <c r="G6" s="62">
        <f>'[4]RZiS IVQ16_szczeg'!$G$15</f>
        <v>19568</v>
      </c>
      <c r="H6" s="72"/>
    </row>
    <row r="7" spans="1:8" s="43" customFormat="1" ht="15" x14ac:dyDescent="0.2">
      <c r="A7" s="71"/>
      <c r="B7" s="82" t="s">
        <v>6</v>
      </c>
      <c r="C7" s="62">
        <f>'[1]RZiS IVQ19'!$D$165</f>
        <v>21</v>
      </c>
      <c r="D7" s="62">
        <f>'[2]RZiS IVQ18'!$D$165</f>
        <v>17</v>
      </c>
      <c r="E7" s="62">
        <f>'[3]RZiS IVQ17'!$D$151</f>
        <v>40</v>
      </c>
      <c r="F7" s="62">
        <f>'[4]RZiS IVQ16'!$D$138</f>
        <v>60</v>
      </c>
      <c r="G7" s="62">
        <f>'[4]RZiS IVQ16'!$G$138</f>
        <v>59</v>
      </c>
      <c r="H7" s="72"/>
    </row>
    <row r="8" spans="1:8" s="43" customFormat="1" ht="15" x14ac:dyDescent="0.2">
      <c r="A8" s="71"/>
      <c r="B8" s="82" t="s">
        <v>7</v>
      </c>
      <c r="C8" s="62">
        <f>'[1]RZiS IVQ19'!$D$174</f>
        <v>0</v>
      </c>
      <c r="D8" s="62">
        <f>'[2]RZiS IVQ18'!$D$174</f>
        <v>0</v>
      </c>
      <c r="E8" s="62">
        <f>'[3]RZiS IVQ17'!$D$160</f>
        <v>1</v>
      </c>
      <c r="F8" s="62">
        <f>'[4]RZiS IVQ16'!$D$146</f>
        <v>1</v>
      </c>
      <c r="G8" s="62"/>
      <c r="H8" s="72"/>
    </row>
    <row r="9" spans="1:8" s="43" customFormat="1" ht="15" x14ac:dyDescent="0.2">
      <c r="A9" s="71"/>
      <c r="B9" s="82" t="s">
        <v>8</v>
      </c>
      <c r="C9" s="62">
        <f>1246-SUM(C7:C8)</f>
        <v>1225</v>
      </c>
      <c r="D9" s="62">
        <f>2150-SUM(D7:D8)</f>
        <v>2133</v>
      </c>
      <c r="E9" s="62">
        <f>1243-SUM(E7:E8)</f>
        <v>1202</v>
      </c>
      <c r="F9" s="62">
        <f>2163-SUM(F7:F8)</f>
        <v>2102</v>
      </c>
      <c r="G9" s="62">
        <f>420-SUM(G7:G8)</f>
        <v>361</v>
      </c>
      <c r="H9" s="72"/>
    </row>
    <row r="10" spans="1:8" s="43" customFormat="1" ht="15" x14ac:dyDescent="0.2">
      <c r="A10" s="71"/>
      <c r="B10" s="82" t="s">
        <v>35</v>
      </c>
      <c r="C10" s="62">
        <f>SUM(C11:C14)</f>
        <v>890</v>
      </c>
      <c r="D10" s="62">
        <f>SUM(D11:D14)</f>
        <v>1413</v>
      </c>
      <c r="E10" s="62">
        <f>SUM(E11:E14)</f>
        <v>1760</v>
      </c>
      <c r="F10" s="62">
        <f>SUM(F11:F14)</f>
        <v>248</v>
      </c>
      <c r="G10" s="62">
        <f>SUM(G11:G14)</f>
        <v>390</v>
      </c>
      <c r="H10" s="72"/>
    </row>
    <row r="11" spans="1:8" s="60" customFormat="1" ht="15" x14ac:dyDescent="0.2">
      <c r="A11" s="58"/>
      <c r="B11" s="83" t="s">
        <v>81</v>
      </c>
      <c r="C11" s="64">
        <f>'[1]RZiS IVQ19'!$D$216</f>
        <v>48</v>
      </c>
      <c r="D11" s="64">
        <f>'[2]RZiS IVQ18'!$D$216</f>
        <v>39</v>
      </c>
      <c r="E11" s="64">
        <f>'[3]RZiS IVQ17'!$D$188</f>
        <v>50</v>
      </c>
      <c r="F11" s="64">
        <f>'[4]RZiS IVQ16'!$D$173</f>
        <v>59</v>
      </c>
      <c r="G11" s="64">
        <f>'[4]RZiS IVQ16'!$G$173</f>
        <v>82</v>
      </c>
      <c r="H11" s="70"/>
    </row>
    <row r="12" spans="1:8" s="60" customFormat="1" ht="15" x14ac:dyDescent="0.2">
      <c r="A12" s="58"/>
      <c r="B12" s="83" t="s">
        <v>79</v>
      </c>
      <c r="C12" s="64">
        <f>'[1]RZiS IVQ19'!$D$217</f>
        <v>0</v>
      </c>
      <c r="D12" s="64">
        <f>'[2]RZiS IVQ18'!$D$217</f>
        <v>0</v>
      </c>
      <c r="E12" s="64">
        <f>'[3]RZiS IVQ17'!$D$189</f>
        <v>645</v>
      </c>
      <c r="F12" s="64">
        <f>'[4]RZiS IVQ16'!$D$174</f>
        <v>0</v>
      </c>
      <c r="G12" s="64">
        <f>'[4]RZiS IVQ16'!$G$174</f>
        <v>0</v>
      </c>
      <c r="H12" s="70"/>
    </row>
    <row r="13" spans="1:8" s="60" customFormat="1" ht="15" x14ac:dyDescent="0.2">
      <c r="A13" s="58"/>
      <c r="B13" s="83" t="s">
        <v>82</v>
      </c>
      <c r="C13" s="64">
        <f>'[1]RZiS IVQ19'!$D$221</f>
        <v>801</v>
      </c>
      <c r="D13" s="64">
        <f>'[2]RZiS IVQ18'!$D$221</f>
        <v>1287</v>
      </c>
      <c r="E13" s="64">
        <f>'[3]RZiS IVQ17'!$D$193</f>
        <v>1025</v>
      </c>
      <c r="F13" s="64">
        <f>'[4]RZiS IVQ16'!$D$178</f>
        <v>156</v>
      </c>
      <c r="G13" s="64">
        <f>'[4]RZiS IVQ16'!$G$178</f>
        <v>270</v>
      </c>
      <c r="H13" s="70"/>
    </row>
    <row r="14" spans="1:8" s="60" customFormat="1" ht="15" x14ac:dyDescent="0.2">
      <c r="A14" s="58"/>
      <c r="B14" s="83" t="s">
        <v>83</v>
      </c>
      <c r="C14" s="64">
        <f>'[1]RZiS IVQ19'!$D$219+'[1]RZiS IVQ19'!$D$223+'[1]RZiS IVQ19'!$D$228</f>
        <v>41</v>
      </c>
      <c r="D14" s="64">
        <f>'[2]RZiS IVQ18'!$D$219+'[2]RZiS IVQ18'!$D$223+'[2]RZiS IVQ18'!$D$228</f>
        <v>87</v>
      </c>
      <c r="E14" s="64">
        <f>'[3]RZiS IVQ17'!$D$191+'[3]RZiS IVQ17'!$D$196+'[3]RZiS IVQ17'!$D$200</f>
        <v>40</v>
      </c>
      <c r="F14" s="64">
        <f>'[4]RZiS IVQ16'!$D$182+'[4]RZiS IVQ16'!$D$179+'[4]RZiS IVQ16'!$D$176</f>
        <v>33</v>
      </c>
      <c r="G14" s="64">
        <f>'[4]RZiS IVQ16'!$G$182+'[4]RZiS IVQ16'!$G$179+'[4]RZiS IVQ16'!$G$176</f>
        <v>38</v>
      </c>
      <c r="H14" s="70"/>
    </row>
    <row r="15" spans="1:8" ht="15" x14ac:dyDescent="0.2">
      <c r="A15" s="32"/>
      <c r="B15" s="84"/>
      <c r="C15" s="62"/>
      <c r="D15" s="62"/>
      <c r="E15" s="62"/>
      <c r="F15" s="62"/>
      <c r="G15" s="62"/>
      <c r="H15" s="70"/>
    </row>
    <row r="16" spans="1:8" s="54" customFormat="1" ht="15.75" x14ac:dyDescent="0.25">
      <c r="A16" s="55">
        <v>8</v>
      </c>
      <c r="B16" s="78" t="s">
        <v>64</v>
      </c>
      <c r="C16" s="79">
        <f>(C17+C27+C31+C39+C42+C43)</f>
        <v>-110577</v>
      </c>
      <c r="D16" s="79">
        <f>(D17+D27+D31+D39+D42+D43)</f>
        <v>-108734</v>
      </c>
      <c r="E16" s="79">
        <f>(E17+E27+E31+E39+E42+E43)</f>
        <v>-92611</v>
      </c>
      <c r="F16" s="79">
        <f>(F17+F27+F31+F39+F42+F43)</f>
        <v>-77037</v>
      </c>
      <c r="G16" s="79">
        <f>(G17+G27+G31+G39+G42+G43)</f>
        <v>-86717</v>
      </c>
      <c r="H16" s="70"/>
    </row>
    <row r="17" spans="1:8" ht="15" x14ac:dyDescent="0.2">
      <c r="A17" s="45">
        <v>2</v>
      </c>
      <c r="B17" s="75" t="s">
        <v>65</v>
      </c>
      <c r="C17" s="81">
        <f>C18+C24</f>
        <v>-103743</v>
      </c>
      <c r="D17" s="81">
        <f>D18+D24</f>
        <v>-101598</v>
      </c>
      <c r="E17" s="81">
        <f>E18+E24</f>
        <v>-85327</v>
      </c>
      <c r="F17" s="81">
        <f>F18+F24</f>
        <v>-71726</v>
      </c>
      <c r="G17" s="81">
        <f>G18+G24</f>
        <v>-82103</v>
      </c>
      <c r="H17" s="70"/>
    </row>
    <row r="18" spans="1:8" s="43" customFormat="1" ht="15.75" customHeight="1" x14ac:dyDescent="0.2">
      <c r="A18" s="71" t="s">
        <v>44</v>
      </c>
      <c r="B18" s="82" t="s">
        <v>9</v>
      </c>
      <c r="C18" s="62">
        <f>'[1]RZiS IVQ19'!$D$155+'[1]RZiS IVQ19'!$D$158-C27-C42</f>
        <v>-102108</v>
      </c>
      <c r="D18" s="62">
        <f>'[2]RZiS IVQ18'!$D$155+'[2]RZiS IVQ18'!$D$158-D27-D42</f>
        <v>-100534</v>
      </c>
      <c r="E18" s="62">
        <f>'[3]RZiS IVQ17'!$D$141+'[3]RZiS IVQ17'!$D$144-E27-E42</f>
        <v>-84823</v>
      </c>
      <c r="F18" s="62">
        <f>'[4]RZiS IVQ16'!$D$128-F42+'[4]RZiS IVQ16'!$D$131-F27</f>
        <v>-71163</v>
      </c>
      <c r="G18" s="62">
        <f>'[4]RZiS IVQ16'!$G$128-G42+'[4]RZiS IVQ16'!$G$131-G27</f>
        <v>-80811</v>
      </c>
      <c r="H18" s="72"/>
    </row>
    <row r="19" spans="1:8" s="60" customFormat="1" ht="15" x14ac:dyDescent="0.2">
      <c r="A19" s="58"/>
      <c r="B19" s="83" t="s">
        <v>10</v>
      </c>
      <c r="C19" s="64">
        <f>'[1]RZiS IVQ19'!$D$149</f>
        <v>-3497</v>
      </c>
      <c r="D19" s="64">
        <f>'[2]RZiS IVQ18'!$D$149</f>
        <v>-2673</v>
      </c>
      <c r="E19" s="64">
        <f>'[3]RZiS IVQ17'!$D$135</f>
        <v>-2421</v>
      </c>
      <c r="F19" s="64">
        <f>'[4]RZiS IVQ16'!D122</f>
        <v>-2110</v>
      </c>
      <c r="G19" s="64">
        <f>'[4]RZiS IVQ16'!$G$122</f>
        <v>-1895</v>
      </c>
      <c r="H19" s="70"/>
    </row>
    <row r="20" spans="1:8" s="60" customFormat="1" ht="15" x14ac:dyDescent="0.2">
      <c r="A20" s="58"/>
      <c r="B20" s="83" t="s">
        <v>11</v>
      </c>
      <c r="C20" s="64">
        <f>'[1]RZiS IVQ19'!$D$145</f>
        <v>-75468</v>
      </c>
      <c r="D20" s="64">
        <f>'[2]RZiS IVQ18'!$D$145</f>
        <v>-75789</v>
      </c>
      <c r="E20" s="64">
        <f>'[3]RZiS IVQ17'!$D$131</f>
        <v>-57277</v>
      </c>
      <c r="F20" s="64">
        <f>'[4]RZiS IVQ16'!$D$118</f>
        <v>-43512</v>
      </c>
      <c r="G20" s="64">
        <f>'[4]RZiS IVQ16'!$G$118</f>
        <v>-54542</v>
      </c>
      <c r="H20" s="70"/>
    </row>
    <row r="21" spans="1:8" s="60" customFormat="1" ht="15" x14ac:dyDescent="0.2">
      <c r="A21" s="58"/>
      <c r="B21" s="83" t="s">
        <v>12</v>
      </c>
      <c r="C21" s="64">
        <f>'[1]RZiS IVQ19'!$D$147</f>
        <v>-4519</v>
      </c>
      <c r="D21" s="64">
        <f>'[2]RZiS IVQ18'!$D$147</f>
        <v>-4593</v>
      </c>
      <c r="E21" s="64">
        <f>'[3]RZiS IVQ17'!$D$133</f>
        <v>-4218</v>
      </c>
      <c r="F21" s="64">
        <f>'[4]RZiS IVQ16'!$D$120</f>
        <v>-4073</v>
      </c>
      <c r="G21" s="64">
        <f>'[4]RZiS IVQ16'!$G$120</f>
        <v>-4352</v>
      </c>
      <c r="H21" s="70"/>
    </row>
    <row r="22" spans="1:8" s="60" customFormat="1" ht="15" x14ac:dyDescent="0.2">
      <c r="A22" s="58"/>
      <c r="B22" s="83" t="s">
        <v>13</v>
      </c>
      <c r="C22" s="64">
        <f>C19-SUM(C19:C21,C23)</f>
        <v>96022</v>
      </c>
      <c r="D22" s="64">
        <f>D18-SUM(D19:D21,D23)</f>
        <v>-995</v>
      </c>
      <c r="E22" s="64">
        <f>E18-SUM(E19:E21,E23)</f>
        <v>-407</v>
      </c>
      <c r="F22" s="64">
        <f>F18-SUM(F19:F21,F23)</f>
        <v>-1221</v>
      </c>
      <c r="G22" s="64">
        <f>G18-SUM(G19:G21,G23)</f>
        <v>-1719</v>
      </c>
      <c r="H22" s="70"/>
    </row>
    <row r="23" spans="1:8" s="60" customFormat="1" ht="15" x14ac:dyDescent="0.2">
      <c r="A23" s="58"/>
      <c r="B23" s="83" t="s">
        <v>14</v>
      </c>
      <c r="C23" s="64">
        <f>'[1]RZiS IVQ19'!$D$146</f>
        <v>-16035</v>
      </c>
      <c r="D23" s="64">
        <f>'[2]RZiS IVQ18'!$D$146</f>
        <v>-16484</v>
      </c>
      <c r="E23" s="64">
        <f>'[3]RZiS IVQ17'!$D$132</f>
        <v>-20500</v>
      </c>
      <c r="F23" s="64">
        <f>'[4]RZiS IVQ16'!$D$119</f>
        <v>-20247</v>
      </c>
      <c r="G23" s="64">
        <f>'[4]RZiS IVQ16'!$G$119</f>
        <v>-18303</v>
      </c>
      <c r="H23" s="70"/>
    </row>
    <row r="24" spans="1:8" ht="16.5" customHeight="1" x14ac:dyDescent="0.2">
      <c r="A24" s="32" t="s">
        <v>45</v>
      </c>
      <c r="B24" s="82" t="s">
        <v>15</v>
      </c>
      <c r="C24" s="62">
        <f>'[1]RZiS IVQ19'!$D$22-C43-C41</f>
        <v>-1635</v>
      </c>
      <c r="D24" s="62">
        <f>'[2]RZiS IVQ18'!$D$22-D43-D41</f>
        <v>-1064</v>
      </c>
      <c r="E24" s="62">
        <f>'[3]RZiS IVQ17'!$D$22-E43-E41</f>
        <v>-504</v>
      </c>
      <c r="F24" s="62">
        <f>'[4]RZiS IVQ16'!$D$22-F43-F41</f>
        <v>-563</v>
      </c>
      <c r="G24" s="62">
        <f>'[4]RZiS IVQ16'!$G$22-G43-G41</f>
        <v>-1292</v>
      </c>
      <c r="H24" s="70"/>
    </row>
    <row r="25" spans="1:8" s="60" customFormat="1" ht="15" x14ac:dyDescent="0.2">
      <c r="A25" s="58"/>
      <c r="B25" s="83" t="s">
        <v>16</v>
      </c>
      <c r="C25" s="64">
        <f>'[1]RZiS IVQ19'!$D$190</f>
        <v>-55</v>
      </c>
      <c r="D25" s="64">
        <f>'[2]RZiS IVQ18'!$D$190</f>
        <v>-47</v>
      </c>
      <c r="E25" s="64">
        <f>'[3]RZiS IVQ17'!$D$169</f>
        <v>-49</v>
      </c>
      <c r="F25" s="64">
        <f>'[4]RZiS IVQ16'!$D$155</f>
        <v>-39</v>
      </c>
      <c r="G25" s="64">
        <f>'[4]RZiS IVQ16'!$G$155</f>
        <v>-38</v>
      </c>
      <c r="H25" s="70"/>
    </row>
    <row r="26" spans="1:8" s="60" customFormat="1" ht="15" x14ac:dyDescent="0.2">
      <c r="A26" s="58"/>
      <c r="B26" s="83" t="s">
        <v>17</v>
      </c>
      <c r="C26" s="64">
        <f>C24-C25</f>
        <v>-1580</v>
      </c>
      <c r="D26" s="64">
        <f>D24-D25</f>
        <v>-1017</v>
      </c>
      <c r="E26" s="64">
        <f>E24-E25</f>
        <v>-455</v>
      </c>
      <c r="F26" s="64">
        <f>F24-F25</f>
        <v>-524</v>
      </c>
      <c r="G26" s="64">
        <f>G24-G25</f>
        <v>-1254</v>
      </c>
      <c r="H26" s="70"/>
    </row>
    <row r="27" spans="1:8" ht="15" x14ac:dyDescent="0.2">
      <c r="A27" s="45">
        <v>3</v>
      </c>
      <c r="B27" s="75" t="s">
        <v>66</v>
      </c>
      <c r="C27" s="81">
        <f>'[1]RZiS IVQ19'!$D$148</f>
        <v>-2942</v>
      </c>
      <c r="D27" s="81">
        <f>'[2]RZiS IVQ18'!$D$148</f>
        <v>-2628</v>
      </c>
      <c r="E27" s="81">
        <f>'[3]RZiS IVQ17'!$D$134</f>
        <v>-2391</v>
      </c>
      <c r="F27" s="81">
        <v>-2206</v>
      </c>
      <c r="G27" s="81">
        <v>-2110</v>
      </c>
      <c r="H27" s="70"/>
    </row>
    <row r="28" spans="1:8" ht="15" hidden="1" x14ac:dyDescent="0.2">
      <c r="A28" s="47"/>
      <c r="B28" s="84" t="s">
        <v>19</v>
      </c>
      <c r="C28" s="62"/>
      <c r="D28" s="62"/>
      <c r="E28" s="62"/>
      <c r="F28" s="62"/>
      <c r="G28" s="62"/>
      <c r="H28" s="70"/>
    </row>
    <row r="29" spans="1:8" ht="15" hidden="1" x14ac:dyDescent="0.2">
      <c r="A29" s="47"/>
      <c r="B29" s="84" t="s">
        <v>20</v>
      </c>
      <c r="C29" s="62"/>
      <c r="D29" s="62"/>
      <c r="E29" s="62"/>
      <c r="F29" s="62"/>
      <c r="G29" s="62"/>
      <c r="H29" s="70"/>
    </row>
    <row r="30" spans="1:8" ht="15" hidden="1" x14ac:dyDescent="0.2">
      <c r="A30" s="47"/>
      <c r="B30" s="84" t="s">
        <v>21</v>
      </c>
      <c r="C30" s="62"/>
      <c r="D30" s="62"/>
      <c r="E30" s="62"/>
      <c r="F30" s="62"/>
      <c r="G30" s="62"/>
      <c r="H30" s="70"/>
    </row>
    <row r="31" spans="1:8" ht="15" x14ac:dyDescent="0.2">
      <c r="A31" s="45">
        <v>4</v>
      </c>
      <c r="B31" s="75" t="s">
        <v>67</v>
      </c>
      <c r="C31" s="81">
        <f>C33+C32</f>
        <v>-2398</v>
      </c>
      <c r="D31" s="81">
        <f>D33+D32</f>
        <v>-2801</v>
      </c>
      <c r="E31" s="81">
        <f>E33+E32</f>
        <v>-3084</v>
      </c>
      <c r="F31" s="81">
        <f>F33+F32</f>
        <v>-1805</v>
      </c>
      <c r="G31" s="81">
        <f>G33+G32</f>
        <v>-1738</v>
      </c>
      <c r="H31" s="70"/>
    </row>
    <row r="32" spans="1:8" ht="15" x14ac:dyDescent="0.2">
      <c r="A32" s="45"/>
      <c r="B32" s="82" t="s">
        <v>27</v>
      </c>
      <c r="C32" s="62">
        <f>'[1]CF IVQ19'!$D$63</f>
        <v>-1497</v>
      </c>
      <c r="D32" s="62">
        <f>'[2]CF IVQ18'!$D$59</f>
        <v>-1284</v>
      </c>
      <c r="E32" s="62">
        <f>'[3]CF IVQ17'!$D$54</f>
        <v>-1384</v>
      </c>
      <c r="F32" s="62">
        <f>'[4]CF IVQ16_ROK'!$D$55</f>
        <v>-912</v>
      </c>
      <c r="G32" s="62">
        <f>'[4]CF IVQ16_ROK'!$G$55</f>
        <v>-706</v>
      </c>
      <c r="H32" s="70"/>
    </row>
    <row r="33" spans="1:8" ht="15.75" customHeight="1" x14ac:dyDescent="0.2">
      <c r="A33" s="47" t="s">
        <v>46</v>
      </c>
      <c r="B33" s="82" t="s">
        <v>22</v>
      </c>
      <c r="C33" s="85">
        <f>'[1]RZiS IVQ19'!$D$246</f>
        <v>-901</v>
      </c>
      <c r="D33" s="85">
        <f>'[2]RZiS IVQ18'!$D$246</f>
        <v>-1517</v>
      </c>
      <c r="E33" s="85">
        <f>'[3]RZiS IVQ17'!$D$218</f>
        <v>-1700</v>
      </c>
      <c r="F33" s="62">
        <f>'[4]RZiS IVQ16'!$D$197</f>
        <v>-893</v>
      </c>
      <c r="G33" s="62">
        <f>'[4]RZiS IVQ16'!$G$197</f>
        <v>-1032</v>
      </c>
      <c r="H33" s="70"/>
    </row>
    <row r="34" spans="1:8" s="60" customFormat="1" ht="15" x14ac:dyDescent="0.2">
      <c r="A34" s="58"/>
      <c r="B34" s="83" t="s">
        <v>84</v>
      </c>
      <c r="C34" s="64">
        <f>'[1]RZiS IVQ19'!$D$234+'[1]RZiS IVQ19'!$D$235+'[1]RZiS IVQ19'!$D$236</f>
        <v>-289</v>
      </c>
      <c r="D34" s="64">
        <f>'[2]RZiS IVQ18'!$D$234+'[2]RZiS IVQ18'!$D$235+'[2]RZiS IVQ18'!$D$236</f>
        <v>-207</v>
      </c>
      <c r="E34" s="64">
        <f>'[3]RZiS IVQ17'!$D$206</f>
        <v>-324</v>
      </c>
      <c r="F34" s="64">
        <f>'[4]RZiS IVQ16'!$D$188</f>
        <v>-216</v>
      </c>
      <c r="G34" s="64">
        <f>'[4]RZiS IVQ16'!$G$188</f>
        <v>-205</v>
      </c>
      <c r="H34" s="70"/>
    </row>
    <row r="35" spans="1:8" s="60" customFormat="1" ht="15" x14ac:dyDescent="0.2">
      <c r="A35" s="58"/>
      <c r="B35" s="83" t="s">
        <v>80</v>
      </c>
      <c r="C35" s="64">
        <f>'[1]RZiS IVQ19'!$D$237</f>
        <v>0</v>
      </c>
      <c r="D35" s="64">
        <f>'[2]RZiS IVQ18'!$D$237</f>
        <v>-353</v>
      </c>
      <c r="E35" s="64">
        <f>'[3]RZiS IVQ17'!$D$207</f>
        <v>0</v>
      </c>
      <c r="F35" s="64">
        <f>'[4]RZiS IVQ16'!$D$189</f>
        <v>-542</v>
      </c>
      <c r="G35" s="64">
        <f>'[4]RZiS IVQ16'!$G$189</f>
        <v>-317</v>
      </c>
      <c r="H35" s="70"/>
    </row>
    <row r="36" spans="1:8" s="60" customFormat="1" ht="15" x14ac:dyDescent="0.2">
      <c r="A36" s="58"/>
      <c r="B36" s="83" t="s">
        <v>77</v>
      </c>
      <c r="C36" s="64">
        <f>'[1]RZiS IVQ19'!$D$240</f>
        <v>-547</v>
      </c>
      <c r="D36" s="64">
        <f>'[2]RZiS IVQ18'!$D$240</f>
        <v>-850</v>
      </c>
      <c r="E36" s="64">
        <f>'[3]RZiS IVQ17'!$D$210</f>
        <v>-1330</v>
      </c>
      <c r="F36" s="64">
        <f>'[4]RZiS IVQ16'!$D$192</f>
        <v>-98</v>
      </c>
      <c r="G36" s="64">
        <f>'[4]RZiS IVQ16'!$G$192</f>
        <v>-447</v>
      </c>
      <c r="H36" s="70"/>
    </row>
    <row r="37" spans="1:8" s="60" customFormat="1" ht="15" x14ac:dyDescent="0.2">
      <c r="A37" s="58"/>
      <c r="B37" s="83" t="s">
        <v>25</v>
      </c>
      <c r="C37" s="64">
        <f>C33-C34-C35-C36</f>
        <v>-65</v>
      </c>
      <c r="D37" s="64">
        <f>D33-D34-D35-D36</f>
        <v>-107</v>
      </c>
      <c r="E37" s="64">
        <f>E33-E34-E35-E36</f>
        <v>-46</v>
      </c>
      <c r="F37" s="64">
        <f>F33-F34-F35-F36</f>
        <v>-37</v>
      </c>
      <c r="G37" s="64">
        <f>G33-G34-G35-G36</f>
        <v>-63</v>
      </c>
      <c r="H37" s="70"/>
    </row>
    <row r="38" spans="1:8" ht="15" hidden="1" x14ac:dyDescent="0.2">
      <c r="A38" s="32"/>
      <c r="B38" s="61" t="s">
        <v>26</v>
      </c>
      <c r="C38" s="62"/>
      <c r="D38" s="62"/>
      <c r="E38" s="62"/>
      <c r="F38" s="62"/>
      <c r="G38" s="62"/>
      <c r="H38" s="70"/>
    </row>
    <row r="39" spans="1:8" ht="15" x14ac:dyDescent="0.2">
      <c r="A39" s="45">
        <v>5</v>
      </c>
      <c r="B39" s="75" t="s">
        <v>68</v>
      </c>
      <c r="C39" s="81">
        <f>SUM(C40:C41)</f>
        <v>-1024</v>
      </c>
      <c r="D39" s="81">
        <f>SUM(D40:D41)</f>
        <v>-1198</v>
      </c>
      <c r="E39" s="81">
        <f>SUM(E40:E41)</f>
        <v>-1355</v>
      </c>
      <c r="F39" s="81">
        <f>SUM(F40:F41)</f>
        <v>-884</v>
      </c>
      <c r="G39" s="81">
        <f>SUM(G40:G41)</f>
        <v>-363</v>
      </c>
      <c r="H39" s="70"/>
    </row>
    <row r="40" spans="1:8" ht="15" x14ac:dyDescent="0.2">
      <c r="A40" s="47"/>
      <c r="B40" s="82" t="s">
        <v>29</v>
      </c>
      <c r="C40" s="62">
        <f>'[1]RZiS IVQ19_szczeg'!$D$51</f>
        <v>-1000</v>
      </c>
      <c r="D40" s="62">
        <f>'[2]RZiS IVQ18_szczeg'!$D$51</f>
        <v>-1181</v>
      </c>
      <c r="E40" s="62">
        <f>'[3]RZiS IVQ17_szczeg'!$D$49</f>
        <v>-1329</v>
      </c>
      <c r="F40" s="62">
        <f>'[3]RZiS IVQ17_szczeg'!$G$49</f>
        <v>-751</v>
      </c>
      <c r="G40" s="62">
        <f>'[4]RZiS IVQ16_szczeg'!$G$49</f>
        <v>-310</v>
      </c>
      <c r="H40" s="70"/>
    </row>
    <row r="41" spans="1:8" ht="15" x14ac:dyDescent="0.2">
      <c r="A41" s="47"/>
      <c r="B41" s="82" t="s">
        <v>30</v>
      </c>
      <c r="C41" s="62">
        <f>'[1]RZiS IVQ19'!$D$198</f>
        <v>-24</v>
      </c>
      <c r="D41" s="62">
        <f>'[2]RZiS IVQ18'!$D$198</f>
        <v>-17</v>
      </c>
      <c r="E41" s="62">
        <f>'[3]RZiS IVQ17'!$D$177</f>
        <v>-26</v>
      </c>
      <c r="F41" s="62">
        <f>'[4]RZiS IVQ16'!$D$162</f>
        <v>-133</v>
      </c>
      <c r="G41" s="62">
        <f>'[4]RZiS IVQ16'!$G$162</f>
        <v>-53</v>
      </c>
      <c r="H41" s="70"/>
    </row>
    <row r="42" spans="1:8" ht="15" x14ac:dyDescent="0.2">
      <c r="A42" s="45">
        <v>6</v>
      </c>
      <c r="B42" s="75" t="s">
        <v>70</v>
      </c>
      <c r="C42" s="81">
        <f>-ROUND(SUM(C50:C53)/1000000,0)</f>
        <v>-412</v>
      </c>
      <c r="D42" s="81">
        <f>-ROUND(SUM(D50:D53)/1000000,0)</f>
        <v>-438</v>
      </c>
      <c r="E42" s="81">
        <f>-ROUND(SUM(E50:E53)/1000000,0)</f>
        <v>-416</v>
      </c>
      <c r="F42" s="81">
        <f t="shared" ref="F42:G42" si="0">-ROUND(SUM(F50:F53)/1000000,0)</f>
        <v>-405</v>
      </c>
      <c r="G42" s="81">
        <f t="shared" si="0"/>
        <v>-394</v>
      </c>
      <c r="H42" s="70"/>
    </row>
    <row r="43" spans="1:8" ht="15" x14ac:dyDescent="0.2">
      <c r="A43" s="45">
        <v>7</v>
      </c>
      <c r="B43" s="75" t="s">
        <v>69</v>
      </c>
      <c r="C43" s="81">
        <f>-ROUND(C48/1000000,0)</f>
        <v>-58</v>
      </c>
      <c r="D43" s="81">
        <f>-ROUND(D48/1000000,0)</f>
        <v>-71</v>
      </c>
      <c r="E43" s="81">
        <f>-ROUND(E48/1000000,0)</f>
        <v>-38</v>
      </c>
      <c r="F43" s="81">
        <f t="shared" ref="F43:G43" si="1">-ROUND(F48/1000000,0)</f>
        <v>-11</v>
      </c>
      <c r="G43" s="81">
        <f t="shared" si="1"/>
        <v>-9</v>
      </c>
      <c r="H43" s="70"/>
    </row>
    <row r="44" spans="1:8" ht="15" x14ac:dyDescent="0.2">
      <c r="H44" s="70"/>
    </row>
    <row r="45" spans="1:8" s="57" customFormat="1" ht="15.75" x14ac:dyDescent="0.25">
      <c r="A45" s="55">
        <v>9</v>
      </c>
      <c r="B45" s="78" t="s">
        <v>72</v>
      </c>
      <c r="C45" s="79">
        <f>C4+C16</f>
        <v>2762</v>
      </c>
      <c r="D45" s="79">
        <f>D4+D16</f>
        <v>4535</v>
      </c>
      <c r="E45" s="79">
        <f>E4+E16</f>
        <v>5756</v>
      </c>
      <c r="F45" s="79">
        <f>F4+F16</f>
        <v>4927</v>
      </c>
      <c r="G45" s="79">
        <f>G4+G16</f>
        <v>2429</v>
      </c>
      <c r="H45" s="70"/>
    </row>
    <row r="46" spans="1:8" x14ac:dyDescent="0.2">
      <c r="C46" s="88"/>
      <c r="D46" s="89"/>
    </row>
    <row r="47" spans="1:8" x14ac:dyDescent="0.2">
      <c r="C47" s="90"/>
      <c r="D47" s="89"/>
      <c r="E47" s="89"/>
      <c r="F47" s="91"/>
      <c r="G47" s="91"/>
    </row>
    <row r="48" spans="1:8" hidden="1" outlineLevel="1" x14ac:dyDescent="0.2">
      <c r="B48" s="86" t="s">
        <v>78</v>
      </c>
      <c r="C48" s="92">
        <v>57593302.811420754</v>
      </c>
      <c r="D48" s="93">
        <v>71373067.806747645</v>
      </c>
      <c r="E48" s="93">
        <v>37550904.509079799</v>
      </c>
      <c r="F48" s="93">
        <v>10934713.8893704</v>
      </c>
      <c r="G48" s="93">
        <v>8918307.9226437192</v>
      </c>
    </row>
    <row r="49" spans="2:7" hidden="1" outlineLevel="1" x14ac:dyDescent="0.2">
      <c r="B49" s="94"/>
      <c r="F49" s="87"/>
      <c r="G49" s="87"/>
    </row>
    <row r="50" spans="2:7" hidden="1" outlineLevel="1" x14ac:dyDescent="0.2">
      <c r="B50" s="86" t="s">
        <v>85</v>
      </c>
      <c r="C50" s="92">
        <v>39457170.853495002</v>
      </c>
      <c r="D50" s="93">
        <v>39724884.702133775</v>
      </c>
      <c r="E50" s="93">
        <v>35801916.226438299</v>
      </c>
      <c r="F50" s="93">
        <v>31256671.084197499</v>
      </c>
      <c r="G50" s="93">
        <v>36743699.5991183</v>
      </c>
    </row>
    <row r="51" spans="2:7" hidden="1" outlineLevel="1" x14ac:dyDescent="0.2">
      <c r="B51" s="86" t="s">
        <v>86</v>
      </c>
      <c r="C51" s="92">
        <v>333868676.04394996</v>
      </c>
      <c r="D51" s="93">
        <v>326717985.39247203</v>
      </c>
      <c r="E51" s="93">
        <v>308376905.44327402</v>
      </c>
      <c r="F51" s="93">
        <v>303630764.76860201</v>
      </c>
      <c r="G51" s="93">
        <v>289959839.76077002</v>
      </c>
    </row>
    <row r="52" spans="2:7" hidden="1" outlineLevel="1" x14ac:dyDescent="0.2">
      <c r="B52" s="86" t="s">
        <v>87</v>
      </c>
      <c r="C52" s="92">
        <v>3353546.7131027449</v>
      </c>
      <c r="D52" s="93">
        <v>3173622.6243974911</v>
      </c>
      <c r="E52" s="93">
        <v>2954632.8750993302</v>
      </c>
      <c r="F52" s="93">
        <v>2787843.7663922999</v>
      </c>
      <c r="G52" s="93">
        <v>3799302.3175683902</v>
      </c>
    </row>
    <row r="53" spans="2:7" hidden="1" outlineLevel="1" x14ac:dyDescent="0.2">
      <c r="B53" s="86" t="s">
        <v>88</v>
      </c>
      <c r="C53" s="92">
        <v>35232227.816280395</v>
      </c>
      <c r="D53" s="93">
        <v>67987788.776296005</v>
      </c>
      <c r="E53" s="93">
        <v>68477278.037165999</v>
      </c>
      <c r="F53" s="93">
        <v>66828647.970077999</v>
      </c>
      <c r="G53" s="93">
        <v>63752209.651720002</v>
      </c>
    </row>
    <row r="54" spans="2:7" hidden="1" collapsed="1" x14ac:dyDescent="0.2">
      <c r="C54" s="95"/>
      <c r="D54" s="95"/>
      <c r="E54" s="95"/>
      <c r="F54" s="95"/>
      <c r="G54" s="95"/>
    </row>
    <row r="55" spans="2:7" hidden="1" x14ac:dyDescent="0.2">
      <c r="B55" s="96" t="s">
        <v>89</v>
      </c>
      <c r="C55" s="89"/>
      <c r="D55" s="89"/>
      <c r="E55" s="89"/>
    </row>
    <row r="56" spans="2:7" hidden="1" x14ac:dyDescent="0.2">
      <c r="B56" s="97">
        <v>2015</v>
      </c>
      <c r="C56" s="89"/>
      <c r="D56" s="89"/>
      <c r="E56" s="89"/>
    </row>
    <row r="57" spans="2:7" hidden="1" x14ac:dyDescent="0.2"/>
    <row r="84" spans="2:2" x14ac:dyDescent="0.2">
      <c r="B84" s="97"/>
    </row>
    <row r="105" spans="2:2" x14ac:dyDescent="0.2">
      <c r="B105" s="97"/>
    </row>
    <row r="135" spans="2:2" x14ac:dyDescent="0.2">
      <c r="B135" s="97"/>
    </row>
    <row r="166" spans="2:2" x14ac:dyDescent="0.2">
      <c r="B166" s="97"/>
    </row>
    <row r="359" ht="20.2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H11" sqref="H11"/>
    </sheetView>
  </sheetViews>
  <sheetFormatPr defaultColWidth="8.7109375" defaultRowHeight="12.75" x14ac:dyDescent="0.2"/>
  <cols>
    <col min="1" max="1" width="5.42578125" style="34" customWidth="1"/>
    <col min="2" max="2" width="114.7109375" style="34" customWidth="1"/>
    <col min="3" max="4" width="9.7109375" style="34" bestFit="1" customWidth="1"/>
    <col min="5" max="16384" width="8.7109375" style="34"/>
  </cols>
  <sheetData>
    <row r="1" spans="1:7" s="54" customFormat="1" ht="15.75" x14ac:dyDescent="0.25">
      <c r="A1" s="52"/>
      <c r="B1" s="66" t="s">
        <v>74</v>
      </c>
      <c r="C1" s="67">
        <v>2016</v>
      </c>
      <c r="D1" s="67">
        <v>2015</v>
      </c>
    </row>
    <row r="2" spans="1:7" s="43" customFormat="1" x14ac:dyDescent="0.2">
      <c r="A2" s="41"/>
      <c r="B2" s="42"/>
      <c r="C2" s="39"/>
      <c r="D2" s="39"/>
    </row>
    <row r="3" spans="1:7" s="54" customFormat="1" ht="15.75" x14ac:dyDescent="0.25">
      <c r="A3" s="52"/>
      <c r="B3" s="53" t="s">
        <v>63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76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73</v>
      </c>
      <c r="C5" s="29">
        <f>'[4]RZiS IVQ16_szczeg'!$D$14</f>
        <v>57775</v>
      </c>
      <c r="D5" s="29">
        <f>'[4]RZiS IVQ16_szczeg'!$G$14</f>
        <v>68768</v>
      </c>
    </row>
    <row r="6" spans="1:7" x14ac:dyDescent="0.2">
      <c r="A6" s="47"/>
      <c r="B6" s="51" t="s">
        <v>40</v>
      </c>
      <c r="C6" s="29">
        <f>'[4]RZiS IVQ16_szczeg'!$D$15</f>
        <v>21778</v>
      </c>
      <c r="D6" s="29">
        <f>'[4]RZiS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6</v>
      </c>
      <c r="C9" s="29">
        <f>'[4]RZiS IVQ16'!$D$138</f>
        <v>60</v>
      </c>
      <c r="D9" s="29">
        <f>'[4]RZiS IVQ16'!$G$138</f>
        <v>59</v>
      </c>
    </row>
    <row r="10" spans="1:7" x14ac:dyDescent="0.2">
      <c r="A10" s="47"/>
      <c r="B10" s="51" t="s">
        <v>7</v>
      </c>
      <c r="C10" s="29">
        <f>'[4]RZiS IVQ16'!$D$146</f>
        <v>1</v>
      </c>
      <c r="D10" s="29"/>
    </row>
    <row r="11" spans="1:7" x14ac:dyDescent="0.2">
      <c r="A11" s="47"/>
      <c r="B11" s="51" t="s">
        <v>8</v>
      </c>
      <c r="C11" s="29">
        <f>2163-SUM(C9:C10)</f>
        <v>2102</v>
      </c>
      <c r="D11" s="29">
        <f>420-SUM(D9:D10)</f>
        <v>361</v>
      </c>
    </row>
    <row r="12" spans="1:7" x14ac:dyDescent="0.2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64</v>
      </c>
      <c r="C13" s="56">
        <f>(C14+C24+C28+C35+C38+C39)</f>
        <v>77465</v>
      </c>
      <c r="D13" s="56">
        <f>(D14+D24+D28+D35+D38+D39)</f>
        <v>86392</v>
      </c>
    </row>
    <row r="14" spans="1:7" x14ac:dyDescent="0.2">
      <c r="A14" s="45">
        <v>2</v>
      </c>
      <c r="B14" s="46" t="s">
        <v>65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44</v>
      </c>
      <c r="B15" s="51" t="s">
        <v>9</v>
      </c>
      <c r="C15" s="29">
        <f>-'[4]RZiS IVQ16'!$D$125-C38-'[4]RZiS IVQ16'!$D$131-C24</f>
        <v>71195</v>
      </c>
      <c r="D15" s="29">
        <f>-'[4]RZiS IVQ16'!$G$125-D38-'[4]RZiS IVQ16'!$G$131-D24</f>
        <v>80331</v>
      </c>
      <c r="E15" s="34" t="s">
        <v>59</v>
      </c>
    </row>
    <row r="16" spans="1:7" s="60" customFormat="1" ht="11.25" x14ac:dyDescent="0.2">
      <c r="A16" s="58"/>
      <c r="B16" s="59" t="s">
        <v>10</v>
      </c>
      <c r="C16" s="40">
        <f>-'[4]RZiS IVQ16'!D122</f>
        <v>2110</v>
      </c>
      <c r="D16" s="40">
        <f>-'[4]RZiS IVQ16'!$G$122</f>
        <v>1895</v>
      </c>
    </row>
    <row r="17" spans="1:4" s="60" customFormat="1" ht="11.25" x14ac:dyDescent="0.2">
      <c r="A17" s="58"/>
      <c r="B17" s="59" t="s">
        <v>11</v>
      </c>
      <c r="C17" s="40">
        <f>-'[4]RZiS IVQ16'!$D$118</f>
        <v>43512</v>
      </c>
      <c r="D17" s="40">
        <f>-'[4]RZiS IVQ16'!$G$118</f>
        <v>54542</v>
      </c>
    </row>
    <row r="18" spans="1:4" s="60" customFormat="1" ht="11.25" x14ac:dyDescent="0.2">
      <c r="A18" s="58"/>
      <c r="B18" s="59" t="s">
        <v>12</v>
      </c>
      <c r="C18" s="40">
        <f>-'[4]RZiS IVQ16'!$D$120</f>
        <v>4073</v>
      </c>
      <c r="D18" s="40">
        <f>-'[4]RZiS IVQ16'!$G$120</f>
        <v>4352</v>
      </c>
    </row>
    <row r="19" spans="1:4" s="60" customFormat="1" ht="11.25" x14ac:dyDescent="0.2">
      <c r="A19" s="58"/>
      <c r="B19" s="59" t="s">
        <v>13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14</v>
      </c>
      <c r="C20" s="40">
        <f>-'[4]RZiS IVQ16'!$D$119</f>
        <v>20247</v>
      </c>
      <c r="D20" s="40">
        <f>-'[4]RZiS IVQ16'!$G$119</f>
        <v>18303</v>
      </c>
    </row>
    <row r="21" spans="1:4" x14ac:dyDescent="0.2">
      <c r="A21" s="32" t="s">
        <v>45</v>
      </c>
      <c r="B21" s="49" t="s">
        <v>15</v>
      </c>
      <c r="C21" s="20">
        <f>-'[4]RZiS IVQ16'!$D$22-C39-C37</f>
        <v>563</v>
      </c>
      <c r="D21" s="20">
        <f>-'[4]RZiS IVQ16'!$G$22-D39-D37</f>
        <v>1292</v>
      </c>
    </row>
    <row r="22" spans="1:4" s="60" customFormat="1" ht="11.25" x14ac:dyDescent="0.2">
      <c r="A22" s="58"/>
      <c r="B22" s="59" t="s">
        <v>16</v>
      </c>
      <c r="C22" s="40">
        <f>-'[4]RZiS IVQ16'!$D$155</f>
        <v>39</v>
      </c>
      <c r="D22" s="40">
        <f>-'[4]RZiS IVQ16'!$G$155</f>
        <v>38</v>
      </c>
    </row>
    <row r="23" spans="1:4" s="60" customFormat="1" ht="11.25" x14ac:dyDescent="0.2">
      <c r="A23" s="58"/>
      <c r="B23" s="59" t="s">
        <v>17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66</v>
      </c>
      <c r="C24" s="26">
        <v>2206</v>
      </c>
      <c r="D24" s="26">
        <v>2110</v>
      </c>
    </row>
    <row r="25" spans="1:4" hidden="1" x14ac:dyDescent="0.2">
      <c r="A25" s="47"/>
      <c r="B25" s="48" t="s">
        <v>19</v>
      </c>
      <c r="C25" s="29"/>
      <c r="D25" s="29"/>
    </row>
    <row r="26" spans="1:4" hidden="1" x14ac:dyDescent="0.2">
      <c r="A26" s="47"/>
      <c r="B26" s="48" t="s">
        <v>20</v>
      </c>
      <c r="C26" s="29"/>
      <c r="D26" s="29"/>
    </row>
    <row r="27" spans="1:4" hidden="1" x14ac:dyDescent="0.2">
      <c r="A27" s="47"/>
      <c r="B27" s="48" t="s">
        <v>21</v>
      </c>
      <c r="C27" s="29"/>
      <c r="D27" s="29"/>
    </row>
    <row r="28" spans="1:4" x14ac:dyDescent="0.2">
      <c r="A28" s="45">
        <v>4</v>
      </c>
      <c r="B28" s="46" t="s">
        <v>67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27</v>
      </c>
      <c r="C29" s="62">
        <f>-'[4]CF IVQ16_ROK'!$D$55</f>
        <v>912</v>
      </c>
      <c r="D29" s="62">
        <f>-'[4]CF IVQ16_ROK'!$G$55</f>
        <v>706</v>
      </c>
    </row>
    <row r="30" spans="1:4" x14ac:dyDescent="0.2">
      <c r="A30" s="47" t="s">
        <v>46</v>
      </c>
      <c r="B30" s="61" t="s">
        <v>22</v>
      </c>
      <c r="C30" s="62">
        <f>-'[4]RZiS IVQ16'!$D$27</f>
        <v>893</v>
      </c>
      <c r="D30" s="62">
        <f>-'[4]RZiS IVQ16'!$G$27</f>
        <v>1032</v>
      </c>
    </row>
    <row r="31" spans="1:4" s="60" customFormat="1" ht="11.25" x14ac:dyDescent="0.2">
      <c r="A31" s="58"/>
      <c r="B31" s="63" t="s">
        <v>23</v>
      </c>
      <c r="C31" s="64">
        <f>-'[4]RZiS IVQ16'!$D$188</f>
        <v>216</v>
      </c>
      <c r="D31" s="64">
        <f>-'[4]RZiS IVQ16'!$G$188</f>
        <v>205</v>
      </c>
    </row>
    <row r="32" spans="1:4" s="60" customFormat="1" ht="11.25" x14ac:dyDescent="0.2">
      <c r="A32" s="58"/>
      <c r="B32" s="63" t="s">
        <v>24</v>
      </c>
      <c r="C32" s="64">
        <f>-'[4]RZiS IVQ16'!$D$189</f>
        <v>542</v>
      </c>
      <c r="D32" s="64">
        <f>-'[4]RZiS IVQ16'!$G$189</f>
        <v>317</v>
      </c>
    </row>
    <row r="33" spans="1:5" s="60" customFormat="1" ht="11.25" x14ac:dyDescent="0.2">
      <c r="A33" s="58"/>
      <c r="B33" s="63" t="s">
        <v>25</v>
      </c>
      <c r="C33" s="64">
        <f>C30-SUM(C31:C32,C34)</f>
        <v>135</v>
      </c>
      <c r="D33" s="64">
        <f>D30-SUM(D31:D32,D34)</f>
        <v>510</v>
      </c>
    </row>
    <row r="34" spans="1:5" hidden="1" x14ac:dyDescent="0.2">
      <c r="A34" s="32"/>
      <c r="B34" s="61" t="s">
        <v>26</v>
      </c>
      <c r="C34" s="62"/>
      <c r="D34" s="62"/>
    </row>
    <row r="35" spans="1:5" x14ac:dyDescent="0.2">
      <c r="A35" s="45">
        <v>5</v>
      </c>
      <c r="B35" s="46" t="s">
        <v>68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29</v>
      </c>
      <c r="C36" s="62">
        <f>-'[4]RZiS IVQ16'!$D$31</f>
        <v>1147</v>
      </c>
      <c r="D36" s="62">
        <f>-'[4]RZiS IVQ16'!$G$31</f>
        <v>465</v>
      </c>
    </row>
    <row r="37" spans="1:5" x14ac:dyDescent="0.2">
      <c r="A37" s="47"/>
      <c r="B37" s="61" t="s">
        <v>30</v>
      </c>
      <c r="C37" s="62">
        <f>-'[4]RZiS IVQ16'!$D$162</f>
        <v>133</v>
      </c>
      <c r="D37" s="62">
        <f>-'[4]RZiS IVQ16'!$G$162</f>
        <v>53</v>
      </c>
    </row>
    <row r="38" spans="1:5" x14ac:dyDescent="0.2">
      <c r="A38" s="45">
        <v>6</v>
      </c>
      <c r="B38" s="46" t="s">
        <v>70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69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72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75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7109375" customWidth="1"/>
    <col min="3" max="4" width="9.7109375" bestFit="1" customWidth="1"/>
  </cols>
  <sheetData>
    <row r="1" spans="1:7" ht="13.5" x14ac:dyDescent="0.2">
      <c r="A1" s="98"/>
      <c r="B1" s="31" t="s">
        <v>0</v>
      </c>
      <c r="C1" s="11">
        <v>2016</v>
      </c>
      <c r="D1" s="11">
        <v>2015</v>
      </c>
    </row>
    <row r="2" spans="1:7" ht="13.5" x14ac:dyDescent="0.2">
      <c r="A2" s="98"/>
      <c r="B2" s="31"/>
      <c r="C2" s="12" t="s">
        <v>33</v>
      </c>
      <c r="D2" s="12" t="s">
        <v>33</v>
      </c>
    </row>
    <row r="3" spans="1:7" ht="13.5" x14ac:dyDescent="0.2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'[4]RZiS IVQ16_szczeg'!$D$14</f>
        <v>57775</v>
      </c>
      <c r="D5" s="36">
        <f>'[4]RZiS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40</v>
      </c>
      <c r="C6" s="36">
        <f>'[4]RZiS IVQ16_szczeg'!$D$15</f>
        <v>21778</v>
      </c>
      <c r="D6" s="36">
        <f>'[4]RZiS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-'[4]RZiS IVQ16'!$D$126</f>
        <v>232</v>
      </c>
      <c r="D7" s="36">
        <f>-'[4]RZiS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-'[4]RZiS IVQ16'!$D$127</f>
        <v>-264</v>
      </c>
      <c r="D8" s="36">
        <f>-'[4]RZiS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'[4]RZiS IVQ16'!$D$21</f>
        <v>2163</v>
      </c>
      <c r="D9" s="23">
        <f>'[4]RZiS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6</v>
      </c>
      <c r="C10" s="20">
        <f>'[4]RZiS IVQ16'!$D$138</f>
        <v>60</v>
      </c>
      <c r="D10" s="20">
        <f>'[4]RZiS IVQ16'!$G$138</f>
        <v>59</v>
      </c>
      <c r="E10" s="30" t="e">
        <f>D10-#REF!</f>
        <v>#REF!</v>
      </c>
    </row>
    <row r="11" spans="1:7" ht="13.5" x14ac:dyDescent="0.2">
      <c r="A11" s="1"/>
      <c r="B11" s="5" t="s">
        <v>7</v>
      </c>
      <c r="C11" s="20">
        <f>'[4]RZiS IVQ16'!$D$146</f>
        <v>1</v>
      </c>
      <c r="D11" s="20"/>
      <c r="E11" s="30"/>
    </row>
    <row r="12" spans="1:7" ht="13.5" x14ac:dyDescent="0.2">
      <c r="A12" s="1"/>
      <c r="B12" s="5" t="s">
        <v>8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5" x14ac:dyDescent="0.2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44</v>
      </c>
      <c r="B14" s="22" t="s">
        <v>9</v>
      </c>
      <c r="C14" s="23">
        <f>-'[4]RZiS IVQ16'!$D$125-'[4]RZiS IVQ16'!$D$131+'[4]RZiS IVQ16'!$D$121-C37</f>
        <v>71195</v>
      </c>
      <c r="D14" s="23">
        <f>-'[4]RZiS IVQ16'!$G$125-'[4]RZiS IVQ16'!$G$131+'[4]RZiS IVQ16'!$G$121-D37</f>
        <v>80331</v>
      </c>
      <c r="E14" s="30" t="e">
        <f>D14-#REF!</f>
        <v>#REF!</v>
      </c>
    </row>
    <row r="15" spans="1:7" s="37" customFormat="1" x14ac:dyDescent="0.2">
      <c r="A15" s="35"/>
      <c r="B15" s="38" t="s">
        <v>10</v>
      </c>
      <c r="C15" s="36">
        <f>-'[4]RZiS IVQ16'!D122</f>
        <v>2110</v>
      </c>
      <c r="D15" s="36">
        <f>-'[4]RZiS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11</v>
      </c>
      <c r="C16" s="36">
        <f>-'[4]RZiS IVQ16'!$D$118</f>
        <v>43512</v>
      </c>
      <c r="D16" s="36">
        <f>-'[4]RZiS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12</v>
      </c>
      <c r="C17" s="36">
        <f>-'[4]RZiS IVQ16'!$D$120</f>
        <v>4073</v>
      </c>
      <c r="D17" s="36">
        <f>-'[4]RZiS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14</v>
      </c>
      <c r="C19" s="36">
        <f>-'[4]RZiS IVQ16'!$D$119</f>
        <v>20247</v>
      </c>
      <c r="D19" s="36">
        <f>-'[4]RZiS IVQ16'!$G$119</f>
        <v>18303</v>
      </c>
      <c r="E19" s="30" t="e">
        <f>D19-#REF!</f>
        <v>#REF!</v>
      </c>
    </row>
    <row r="20" spans="1:5" ht="13.5" x14ac:dyDescent="0.2">
      <c r="A20" s="1" t="s">
        <v>45</v>
      </c>
      <c r="B20" s="7" t="s">
        <v>15</v>
      </c>
      <c r="C20" s="19">
        <f>-'[4]RZiS IVQ16'!$D$22-C38-C36</f>
        <v>563</v>
      </c>
      <c r="D20" s="19">
        <f>-'[4]RZiS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16</v>
      </c>
      <c r="C21" s="36">
        <f>-'[4]RZiS IVQ16'!$D$155</f>
        <v>39</v>
      </c>
      <c r="D21" s="36">
        <f>-'[4]RZiS IVQ16'!$G$155</f>
        <v>38</v>
      </c>
      <c r="E21" s="30" t="e">
        <f>D21-#REF!</f>
        <v>#REF!</v>
      </c>
    </row>
    <row r="22" spans="1:5" s="37" customFormat="1" x14ac:dyDescent="0.2">
      <c r="A22" s="35"/>
      <c r="B22" s="38" t="s">
        <v>17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5" hidden="1" x14ac:dyDescent="0.2">
      <c r="A24" s="27"/>
      <c r="B24" s="28" t="s">
        <v>19</v>
      </c>
      <c r="C24" s="29"/>
      <c r="D24" s="29"/>
      <c r="E24" s="30" t="e">
        <f>D24-#REF!</f>
        <v>#REF!</v>
      </c>
    </row>
    <row r="25" spans="1:5" ht="13.5" hidden="1" x14ac:dyDescent="0.2">
      <c r="A25" s="27"/>
      <c r="B25" s="28" t="s">
        <v>20</v>
      </c>
      <c r="C25" s="29"/>
      <c r="D25" s="29"/>
      <c r="E25" s="30" t="e">
        <f>D25-#REF!</f>
        <v>#REF!</v>
      </c>
    </row>
    <row r="26" spans="1:5" ht="13.5" hidden="1" x14ac:dyDescent="0.2">
      <c r="A26" s="27"/>
      <c r="B26" s="28" t="s">
        <v>21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3.5" x14ac:dyDescent="0.2">
      <c r="A28" s="27" t="s">
        <v>46</v>
      </c>
      <c r="B28" s="22" t="s">
        <v>22</v>
      </c>
      <c r="C28" s="23">
        <f>-'[4]RZiS IVQ16'!$D$27</f>
        <v>893</v>
      </c>
      <c r="D28" s="23">
        <f>-'[4]RZiS IVQ16'!$G$27</f>
        <v>1032</v>
      </c>
      <c r="E28" s="30" t="e">
        <f>D28-#REF!</f>
        <v>#REF!</v>
      </c>
    </row>
    <row r="29" spans="1:5" s="37" customFormat="1" x14ac:dyDescent="0.2">
      <c r="A29" s="35"/>
      <c r="B29" s="38" t="s">
        <v>23</v>
      </c>
      <c r="C29" s="36">
        <f>-'[4]RZiS IVQ16'!$D$188</f>
        <v>216</v>
      </c>
      <c r="D29" s="36">
        <f>-'[4]RZiS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24</v>
      </c>
      <c r="C30" s="36">
        <f>-'[4]RZiS IVQ16'!$D$189</f>
        <v>542</v>
      </c>
      <c r="D30" s="36">
        <f>-'[4]RZiS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25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5" hidden="1" x14ac:dyDescent="0.2">
      <c r="A32" s="1"/>
      <c r="B32" s="5" t="s">
        <v>26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27</v>
      </c>
      <c r="C33" s="23">
        <f>-'[4]CF IVQ16_ROK'!$D$55</f>
        <v>912</v>
      </c>
      <c r="D33" s="23">
        <f>-'[4]CF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29</v>
      </c>
      <c r="C35" s="20">
        <f>-'[4]RZiS IVQ16'!$D$31</f>
        <v>1147</v>
      </c>
      <c r="D35" s="20">
        <f>-'[4]RZiS IVQ16'!$G$31</f>
        <v>465</v>
      </c>
      <c r="E35" s="30" t="e">
        <f>D35-#REF!</f>
        <v>#REF!</v>
      </c>
    </row>
    <row r="36" spans="1:5" ht="13.5" x14ac:dyDescent="0.2">
      <c r="A36" s="1"/>
      <c r="B36" s="5" t="s">
        <v>30</v>
      </c>
      <c r="C36" s="20">
        <f>-'[4]RZiS IVQ16'!$D$162</f>
        <v>133</v>
      </c>
      <c r="D36" s="20">
        <f>-'[4]RZiS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8"/>
  <sheetViews>
    <sheetView workbookViewId="0">
      <selection activeCell="D26" sqref="B26:D26"/>
    </sheetView>
  </sheetViews>
  <sheetFormatPr defaultRowHeight="12.75" x14ac:dyDescent="0.2"/>
  <cols>
    <col min="1" max="1" width="2.7109375" customWidth="1"/>
    <col min="2" max="2" width="111" customWidth="1"/>
  </cols>
  <sheetData>
    <row r="1" spans="2:4" x14ac:dyDescent="0.2">
      <c r="B1" s="99" t="s">
        <v>0</v>
      </c>
      <c r="C1" s="11">
        <v>2016</v>
      </c>
      <c r="D1" s="11">
        <v>2015</v>
      </c>
    </row>
    <row r="2" spans="2:4" x14ac:dyDescent="0.2">
      <c r="B2" s="99"/>
      <c r="C2" s="12" t="s">
        <v>33</v>
      </c>
      <c r="D2" s="12" t="s">
        <v>33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5</v>
      </c>
      <c r="C4" s="13">
        <f>'GK ORLEN'!C9</f>
        <v>2163</v>
      </c>
      <c r="D4" s="13">
        <f>'GK ORLEN'!D9</f>
        <v>420</v>
      </c>
    </row>
    <row r="5" spans="2:4" x14ac:dyDescent="0.2">
      <c r="B5" s="6" t="s">
        <v>35</v>
      </c>
      <c r="C5" s="13">
        <f>'[4]RZiS IVQ16'!D26</f>
        <v>248</v>
      </c>
      <c r="D5" s="13">
        <f>'[4]RZiS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-'[4]RZiS IVQ16'!$D$83</f>
        <v>47976</v>
      </c>
      <c r="D7" s="13">
        <f>-'[4]RZiS IVQ16'!$G$83</f>
        <v>59489</v>
      </c>
    </row>
    <row r="8" spans="2:4" x14ac:dyDescent="0.2">
      <c r="B8" s="6" t="s">
        <v>38</v>
      </c>
      <c r="C8" s="13">
        <f>'[4]RZiS IVQ16'!$D$129</f>
        <v>4125</v>
      </c>
      <c r="D8" s="13">
        <f>'[4]RZiS IVQ16'!$G$129</f>
        <v>3971</v>
      </c>
    </row>
    <row r="9" spans="2:4" x14ac:dyDescent="0.2">
      <c r="B9" s="6" t="s">
        <v>39</v>
      </c>
      <c r="C9" s="13">
        <f>'[4]RZiS IVQ16'!$D$130</f>
        <v>1426</v>
      </c>
      <c r="D9" s="13">
        <f>'[4]RZiS IVQ16'!$G$130</f>
        <v>1552</v>
      </c>
    </row>
    <row r="10" spans="2:4" x14ac:dyDescent="0.2">
      <c r="B10" s="6" t="s">
        <v>15</v>
      </c>
      <c r="C10" s="13">
        <f>-'[4]RZiS IVQ16'!$D$22</f>
        <v>707</v>
      </c>
      <c r="D10" s="13">
        <f>-'[4]RZiS IVQ16'!$G$22</f>
        <v>1354</v>
      </c>
    </row>
    <row r="11" spans="2:4" x14ac:dyDescent="0.2">
      <c r="B11" s="6" t="s">
        <v>22</v>
      </c>
      <c r="C11" s="13">
        <f>-'[4]RZiS IVQ16'!$D$27</f>
        <v>893</v>
      </c>
      <c r="D11" s="13">
        <f>-'[4]RZiS IVQ16'!$G$27</f>
        <v>1032</v>
      </c>
    </row>
    <row r="12" spans="2:4" x14ac:dyDescent="0.2">
      <c r="B12" s="4" t="s">
        <v>9</v>
      </c>
      <c r="C12" s="14">
        <f>SUM(C7:C11)</f>
        <v>55127</v>
      </c>
      <c r="D12" s="14">
        <f>SUM(D7:D11)</f>
        <v>67398</v>
      </c>
    </row>
    <row r="13" spans="2:4" x14ac:dyDescent="0.2">
      <c r="B13" s="10" t="s">
        <v>49</v>
      </c>
      <c r="C13" s="15"/>
      <c r="D13" s="16"/>
    </row>
    <row r="14" spans="2:4" x14ac:dyDescent="0.2">
      <c r="B14" s="6" t="s">
        <v>50</v>
      </c>
      <c r="C14" s="13">
        <f>-'[4]RZiS IVQ16'!$D$121</f>
        <v>2206</v>
      </c>
      <c r="D14" s="13">
        <f>-'[4]RZiS IVQ16'!$G$121</f>
        <v>2110</v>
      </c>
    </row>
    <row r="15" spans="2:4" x14ac:dyDescent="0.2">
      <c r="B15" s="6" t="s">
        <v>51</v>
      </c>
      <c r="C15" s="13">
        <f>-'[4]RZiS IVQ16'!$D$123</f>
        <v>1129</v>
      </c>
      <c r="D15" s="13">
        <f>-'[4]RZiS IVQ16'!$G$123</f>
        <v>1152</v>
      </c>
    </row>
    <row r="16" spans="2:4" x14ac:dyDescent="0.2">
      <c r="B16" s="8" t="s">
        <v>52</v>
      </c>
      <c r="C16" s="17"/>
      <c r="D16" s="17"/>
    </row>
    <row r="17" spans="2:4" x14ac:dyDescent="0.2">
      <c r="B17" s="6" t="s">
        <v>53</v>
      </c>
      <c r="C17" s="13">
        <f>-'[4]RZiS IVQ16'!$D$162</f>
        <v>133</v>
      </c>
      <c r="D17" s="13">
        <f>-'[4]RZiS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50</v>
      </c>
      <c r="C19" s="14">
        <f>C14</f>
        <v>2206</v>
      </c>
      <c r="D19" s="14">
        <f>D14</f>
        <v>2110</v>
      </c>
    </row>
    <row r="20" spans="2:4" x14ac:dyDescent="0.2">
      <c r="B20" s="6" t="s">
        <v>53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51</v>
      </c>
      <c r="C23" s="13">
        <f>C15</f>
        <v>1129</v>
      </c>
      <c r="D23" s="13">
        <f>D15</f>
        <v>1152</v>
      </c>
    </row>
    <row r="24" spans="2:4" x14ac:dyDescent="0.2">
      <c r="B24" s="6" t="s">
        <v>29</v>
      </c>
      <c r="C24" s="13">
        <f>-'[4]RZiS IVQ16'!$D$31</f>
        <v>1147</v>
      </c>
      <c r="D24" s="13">
        <f>-'[4]RZiS IVQ16'!$G$31</f>
        <v>465</v>
      </c>
    </row>
    <row r="25" spans="2:4" x14ac:dyDescent="0.2">
      <c r="B25" s="9" t="s">
        <v>28</v>
      </c>
      <c r="C25" s="14">
        <f>C24+C23</f>
        <v>2276</v>
      </c>
      <c r="D25" s="14">
        <f>D24+D23</f>
        <v>1617</v>
      </c>
    </row>
    <row r="26" spans="2:4" x14ac:dyDescent="0.2">
      <c r="B26" s="9" t="s">
        <v>52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GK ORLEN 1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2020-06-10T10:40:12Z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